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e2274\Downloads\"/>
    </mc:Choice>
  </mc:AlternateContent>
  <xr:revisionPtr revIDLastSave="0" documentId="13_ncr:1_{D8E0E41A-919E-4CDE-A78F-2B9AD167F836}" xr6:coauthVersionLast="47" xr6:coauthVersionMax="47" xr10:uidLastSave="{00000000-0000-0000-0000-000000000000}"/>
  <bookViews>
    <workbookView xWindow="-108" yWindow="-108" windowWidth="23256" windowHeight="12456" xr2:uid="{00000000-000D-0000-FFFF-FFFF00000000}"/>
  </bookViews>
  <sheets>
    <sheet name="Sheet1" sheetId="4" r:id="rId1"/>
    <sheet name="DataToCoppy" sheetId="5" state="hidden" r:id="rId2"/>
  </sheets>
  <definedNames>
    <definedName name="_xlnm._FilterDatabase" localSheetId="0" hidden="1">Sheet1!$A$3:$Q$459</definedName>
    <definedName name="_xlnm.Print_Area" localSheetId="0">Sheet1!$A$1:$R$460</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 i="4" l="1"/>
  <c r="R6" i="4"/>
  <c r="R7" i="4"/>
  <c r="R8" i="4"/>
  <c r="R9" i="4"/>
  <c r="R10" i="4"/>
  <c r="R11" i="4"/>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R132" i="4"/>
  <c r="R133" i="4"/>
  <c r="R134" i="4"/>
  <c r="R135" i="4"/>
  <c r="R136" i="4"/>
  <c r="R137" i="4"/>
  <c r="R138" i="4"/>
  <c r="R139" i="4"/>
  <c r="R140" i="4"/>
  <c r="R141" i="4"/>
  <c r="R142" i="4"/>
  <c r="R143" i="4"/>
  <c r="R144" i="4"/>
  <c r="R145" i="4"/>
  <c r="R146" i="4"/>
  <c r="R147" i="4"/>
  <c r="R148" i="4"/>
  <c r="R149" i="4"/>
  <c r="R150" i="4"/>
  <c r="R151" i="4"/>
  <c r="R152" i="4"/>
  <c r="R153" i="4"/>
  <c r="R154" i="4"/>
  <c r="R155" i="4"/>
  <c r="R156" i="4"/>
  <c r="R157" i="4"/>
  <c r="R158" i="4"/>
  <c r="R159" i="4"/>
  <c r="R160" i="4"/>
  <c r="R161" i="4"/>
  <c r="R162" i="4"/>
  <c r="R163" i="4"/>
  <c r="R164" i="4"/>
  <c r="R165" i="4"/>
  <c r="R166" i="4"/>
  <c r="R167" i="4"/>
  <c r="R168" i="4"/>
  <c r="R169" i="4"/>
  <c r="R170" i="4"/>
  <c r="R171" i="4"/>
  <c r="R172" i="4"/>
  <c r="R173" i="4"/>
  <c r="R174" i="4"/>
  <c r="R175" i="4"/>
  <c r="R176" i="4"/>
  <c r="R177" i="4"/>
  <c r="R178" i="4"/>
  <c r="R179" i="4"/>
  <c r="R180" i="4"/>
  <c r="R181" i="4"/>
  <c r="R182" i="4"/>
  <c r="R183" i="4"/>
  <c r="R184" i="4"/>
  <c r="R185" i="4"/>
  <c r="R186" i="4"/>
  <c r="R187" i="4"/>
  <c r="R188" i="4"/>
  <c r="R189" i="4"/>
  <c r="R190" i="4"/>
  <c r="R191" i="4"/>
  <c r="R192" i="4"/>
  <c r="R193" i="4"/>
  <c r="R194" i="4"/>
  <c r="R195" i="4"/>
  <c r="R196" i="4"/>
  <c r="R197" i="4"/>
  <c r="R198" i="4"/>
  <c r="R199" i="4"/>
  <c r="R200" i="4"/>
  <c r="R201" i="4"/>
  <c r="R202" i="4"/>
  <c r="R203" i="4"/>
  <c r="R204" i="4"/>
  <c r="R205" i="4"/>
  <c r="R206" i="4"/>
  <c r="R207" i="4"/>
  <c r="R208" i="4"/>
  <c r="R209" i="4"/>
  <c r="R210" i="4"/>
  <c r="R211" i="4"/>
  <c r="R212" i="4"/>
  <c r="R213" i="4"/>
  <c r="R214" i="4"/>
  <c r="R215" i="4"/>
  <c r="R216" i="4"/>
  <c r="R217" i="4"/>
  <c r="R218" i="4"/>
  <c r="R219" i="4"/>
  <c r="R220" i="4"/>
  <c r="R221" i="4"/>
  <c r="R222" i="4"/>
  <c r="R223" i="4"/>
  <c r="R224" i="4"/>
  <c r="R225" i="4"/>
  <c r="R226" i="4"/>
  <c r="R227" i="4"/>
  <c r="R228" i="4"/>
  <c r="R229" i="4"/>
  <c r="R230" i="4"/>
  <c r="R231" i="4"/>
  <c r="R232" i="4"/>
  <c r="R233" i="4"/>
  <c r="R234" i="4"/>
  <c r="R235" i="4"/>
  <c r="R236" i="4"/>
  <c r="R237" i="4"/>
  <c r="R238" i="4"/>
  <c r="R239" i="4"/>
  <c r="R240" i="4"/>
  <c r="R241" i="4"/>
  <c r="R242" i="4"/>
  <c r="R243" i="4"/>
  <c r="R244" i="4"/>
  <c r="R245" i="4"/>
  <c r="R246" i="4"/>
  <c r="R247" i="4"/>
  <c r="R248" i="4"/>
  <c r="R249" i="4"/>
  <c r="R250" i="4"/>
  <c r="R251" i="4"/>
  <c r="R252" i="4"/>
  <c r="R253" i="4"/>
  <c r="R254" i="4"/>
  <c r="R255" i="4"/>
  <c r="R256" i="4"/>
  <c r="R257" i="4"/>
  <c r="R258" i="4"/>
  <c r="R259" i="4"/>
  <c r="R260" i="4"/>
  <c r="R261" i="4"/>
  <c r="R262" i="4"/>
  <c r="R263" i="4"/>
  <c r="R264" i="4"/>
  <c r="R265" i="4"/>
  <c r="R266" i="4"/>
  <c r="R267" i="4"/>
  <c r="R268" i="4"/>
  <c r="R269" i="4"/>
  <c r="R270" i="4"/>
  <c r="R271" i="4"/>
  <c r="R272" i="4"/>
  <c r="R273" i="4"/>
  <c r="R274" i="4"/>
  <c r="R275" i="4"/>
  <c r="R276" i="4"/>
  <c r="R277" i="4"/>
  <c r="R278" i="4"/>
  <c r="R279" i="4"/>
  <c r="R280" i="4"/>
  <c r="R281" i="4"/>
  <c r="R282" i="4"/>
  <c r="R283" i="4"/>
  <c r="R284" i="4"/>
  <c r="R285" i="4"/>
  <c r="R286" i="4"/>
  <c r="R287" i="4"/>
  <c r="R288" i="4"/>
  <c r="R289" i="4"/>
  <c r="R290" i="4"/>
  <c r="R291" i="4"/>
  <c r="R292" i="4"/>
  <c r="R293" i="4"/>
  <c r="R294" i="4"/>
  <c r="R295" i="4"/>
  <c r="R296" i="4"/>
  <c r="R297" i="4"/>
  <c r="R298" i="4"/>
  <c r="R299" i="4"/>
  <c r="R300" i="4"/>
  <c r="R301" i="4"/>
  <c r="R302" i="4"/>
  <c r="R303" i="4"/>
  <c r="R304" i="4"/>
  <c r="R305" i="4"/>
  <c r="R306" i="4"/>
  <c r="R307" i="4"/>
  <c r="R308" i="4"/>
  <c r="R309" i="4"/>
  <c r="R310" i="4"/>
  <c r="R311" i="4"/>
  <c r="R312" i="4"/>
  <c r="R313" i="4"/>
  <c r="R314" i="4"/>
  <c r="R315" i="4"/>
  <c r="R316" i="4"/>
  <c r="R317" i="4"/>
  <c r="R318" i="4"/>
  <c r="R319" i="4"/>
  <c r="R320" i="4"/>
  <c r="R321" i="4"/>
  <c r="R322" i="4"/>
  <c r="R323" i="4"/>
  <c r="R324" i="4"/>
  <c r="R325" i="4"/>
  <c r="R326" i="4"/>
  <c r="R327" i="4"/>
  <c r="R328" i="4"/>
  <c r="R329" i="4"/>
  <c r="R330" i="4"/>
  <c r="R331" i="4"/>
  <c r="R332" i="4"/>
  <c r="R333" i="4"/>
  <c r="R334" i="4"/>
  <c r="R335" i="4"/>
  <c r="R336" i="4"/>
  <c r="R337" i="4"/>
  <c r="R338" i="4"/>
  <c r="R339" i="4"/>
  <c r="R340" i="4"/>
  <c r="R341" i="4"/>
  <c r="R342" i="4"/>
  <c r="R343" i="4"/>
  <c r="R344" i="4"/>
  <c r="R345" i="4"/>
  <c r="R346" i="4"/>
  <c r="R347" i="4"/>
  <c r="R348" i="4"/>
  <c r="R349" i="4"/>
  <c r="R350" i="4"/>
  <c r="R351" i="4"/>
  <c r="R352" i="4"/>
  <c r="R353" i="4"/>
  <c r="R354" i="4"/>
  <c r="R355" i="4"/>
  <c r="R356" i="4"/>
  <c r="R357" i="4"/>
  <c r="R358" i="4"/>
  <c r="R359" i="4"/>
  <c r="R360" i="4"/>
  <c r="R361" i="4"/>
  <c r="R362" i="4"/>
  <c r="R363" i="4"/>
  <c r="R364" i="4"/>
  <c r="R365" i="4"/>
  <c r="R366" i="4"/>
  <c r="R367" i="4"/>
  <c r="R368" i="4"/>
  <c r="R369" i="4"/>
  <c r="R370" i="4"/>
  <c r="R371" i="4"/>
  <c r="R372" i="4"/>
  <c r="R373" i="4"/>
  <c r="R374" i="4"/>
  <c r="R375" i="4"/>
  <c r="R376" i="4"/>
  <c r="R377" i="4"/>
  <c r="R378" i="4"/>
  <c r="R379" i="4"/>
  <c r="R380" i="4"/>
  <c r="R381" i="4"/>
  <c r="R382" i="4"/>
  <c r="R383" i="4"/>
  <c r="R384" i="4"/>
  <c r="R385" i="4"/>
  <c r="R386" i="4"/>
  <c r="R387" i="4"/>
  <c r="R388" i="4"/>
  <c r="R389" i="4"/>
  <c r="R390" i="4"/>
  <c r="R391" i="4"/>
  <c r="R392" i="4"/>
  <c r="R393" i="4"/>
  <c r="R394" i="4"/>
  <c r="R395" i="4"/>
  <c r="R396" i="4"/>
  <c r="R397" i="4"/>
  <c r="R398" i="4"/>
  <c r="R399" i="4"/>
  <c r="R400" i="4"/>
  <c r="R401" i="4"/>
  <c r="R402" i="4"/>
  <c r="R403" i="4"/>
  <c r="R404" i="4"/>
  <c r="R405" i="4"/>
  <c r="R406" i="4"/>
  <c r="R407" i="4"/>
  <c r="R408" i="4"/>
  <c r="R409" i="4"/>
  <c r="R410" i="4"/>
  <c r="R411" i="4"/>
  <c r="R412" i="4"/>
  <c r="R413" i="4"/>
  <c r="R414" i="4"/>
  <c r="R415" i="4"/>
  <c r="R416" i="4"/>
  <c r="R417" i="4"/>
  <c r="R418" i="4"/>
  <c r="R419" i="4"/>
  <c r="R420" i="4"/>
  <c r="R421" i="4"/>
  <c r="R422" i="4"/>
  <c r="R423" i="4"/>
  <c r="R424" i="4"/>
  <c r="R425" i="4"/>
  <c r="R426" i="4"/>
  <c r="R427" i="4"/>
  <c r="R428" i="4"/>
  <c r="R429" i="4"/>
  <c r="R430" i="4"/>
  <c r="R431" i="4"/>
  <c r="R432" i="4"/>
  <c r="R433" i="4"/>
  <c r="R434" i="4"/>
  <c r="R435" i="4"/>
  <c r="R436" i="4"/>
  <c r="R437" i="4"/>
  <c r="R438" i="4"/>
  <c r="R439" i="4"/>
  <c r="R440" i="4"/>
  <c r="R441" i="4"/>
  <c r="R442" i="4"/>
  <c r="R443" i="4"/>
  <c r="R444" i="4"/>
  <c r="R445" i="4"/>
  <c r="R446" i="4"/>
  <c r="R447" i="4"/>
  <c r="R448" i="4"/>
  <c r="R449" i="4"/>
  <c r="R450" i="4"/>
  <c r="R451" i="4"/>
  <c r="R452" i="4"/>
  <c r="R453" i="4"/>
  <c r="R454" i="4"/>
  <c r="R455" i="4"/>
  <c r="R456" i="4"/>
  <c r="R457" i="4"/>
  <c r="R458" i="4"/>
  <c r="R459" i="4"/>
  <c r="R4" i="4"/>
  <c r="N343" i="4"/>
  <c r="N231" i="4"/>
  <c r="N281" i="4"/>
  <c r="N293" i="4"/>
  <c r="N326" i="4"/>
  <c r="N328" i="4"/>
  <c r="N338" i="4"/>
  <c r="N223" i="4"/>
  <c r="N106" i="4"/>
  <c r="N108" i="4"/>
  <c r="N14" i="4"/>
  <c r="N17" i="4"/>
  <c r="N38" i="4"/>
  <c r="P459" i="4"/>
  <c r="P458" i="4"/>
  <c r="P457" i="4"/>
  <c r="P456" i="4"/>
  <c r="P455" i="4"/>
  <c r="P454" i="4"/>
  <c r="P452" i="4"/>
  <c r="P451" i="4"/>
  <c r="P449" i="4"/>
  <c r="P446" i="4"/>
  <c r="P444" i="4"/>
  <c r="P434" i="4"/>
  <c r="P435" i="4"/>
  <c r="P436" i="4"/>
  <c r="P438" i="4"/>
  <c r="P441" i="4"/>
  <c r="P442" i="4"/>
  <c r="P443" i="4"/>
  <c r="P427" i="4"/>
  <c r="P429" i="4"/>
  <c r="P430" i="4"/>
  <c r="P431" i="4"/>
  <c r="P432" i="4"/>
  <c r="P433" i="4"/>
  <c r="P425" i="4"/>
  <c r="P421" i="4"/>
  <c r="P423" i="4"/>
  <c r="P422" i="4"/>
  <c r="P420" i="4"/>
  <c r="P410" i="4"/>
  <c r="P411" i="4"/>
  <c r="P412" i="4"/>
  <c r="P414" i="4"/>
  <c r="P415" i="4"/>
  <c r="P417" i="4"/>
  <c r="P418" i="4"/>
  <c r="P407" i="4"/>
  <c r="P408" i="4"/>
  <c r="P399" i="4"/>
  <c r="P400" i="4"/>
  <c r="P402" i="4"/>
  <c r="P403" i="4"/>
  <c r="P404" i="4"/>
  <c r="P397" i="4"/>
  <c r="P398" i="4"/>
  <c r="P357" i="4"/>
  <c r="P358" i="4"/>
  <c r="P359" i="4"/>
  <c r="P363" i="4"/>
  <c r="P364" i="4"/>
  <c r="P365" i="4"/>
  <c r="P367" i="4"/>
  <c r="P366" i="4"/>
  <c r="P372" i="4"/>
  <c r="P371" i="4"/>
  <c r="P369" i="4"/>
  <c r="P373" i="4"/>
  <c r="P374" i="4"/>
  <c r="P375" i="4"/>
  <c r="P376" i="4"/>
  <c r="P378" i="4"/>
  <c r="P377" i="4"/>
  <c r="P381" i="4"/>
  <c r="P379" i="4"/>
  <c r="P386" i="4"/>
  <c r="P385" i="4"/>
  <c r="P384" i="4"/>
  <c r="P383" i="4"/>
  <c r="P382" i="4"/>
  <c r="P387" i="4"/>
  <c r="P388" i="4"/>
  <c r="P389" i="4"/>
  <c r="P391" i="4"/>
  <c r="P392" i="4"/>
  <c r="P394" i="4"/>
  <c r="P395" i="4"/>
  <c r="P396" i="4"/>
  <c r="P356" i="4"/>
  <c r="P345" i="4"/>
  <c r="P346" i="4"/>
  <c r="P348" i="4"/>
  <c r="P349" i="4"/>
  <c r="P350" i="4"/>
  <c r="P351" i="4"/>
  <c r="P353" i="4"/>
  <c r="P343" i="4"/>
  <c r="P224" i="4"/>
  <c r="P226" i="4"/>
  <c r="P228" i="4"/>
  <c r="P229" i="4"/>
  <c r="P231" i="4"/>
  <c r="P233" i="4"/>
  <c r="P234" i="4"/>
  <c r="P235" i="4"/>
  <c r="P236" i="4"/>
  <c r="P237" i="4"/>
  <c r="P238" i="4"/>
  <c r="P239" i="4"/>
  <c r="P240" i="4"/>
  <c r="P242" i="4"/>
  <c r="P243" i="4"/>
  <c r="P245" i="4"/>
  <c r="P244" i="4"/>
  <c r="P247" i="4"/>
  <c r="P249" i="4"/>
  <c r="P248" i="4"/>
  <c r="P253" i="4"/>
  <c r="P252" i="4"/>
  <c r="P251" i="4"/>
  <c r="P255" i="4"/>
  <c r="P254" i="4"/>
  <c r="P260" i="4"/>
  <c r="P259" i="4"/>
  <c r="P257" i="4"/>
  <c r="P264" i="4"/>
  <c r="P263" i="4"/>
  <c r="P262" i="4"/>
  <c r="P261" i="4"/>
  <c r="P266" i="4"/>
  <c r="P271" i="4"/>
  <c r="P268" i="4"/>
  <c r="P274" i="4"/>
  <c r="P272" i="4"/>
  <c r="P279" i="4"/>
  <c r="P277" i="4"/>
  <c r="P276" i="4"/>
  <c r="P275" i="4"/>
  <c r="P281" i="4"/>
  <c r="P280" i="4"/>
  <c r="P282" i="4"/>
  <c r="P285" i="4"/>
  <c r="P284" i="4"/>
  <c r="P283" i="4"/>
  <c r="P290" i="4"/>
  <c r="P289" i="4"/>
  <c r="P288" i="4"/>
  <c r="P287" i="4"/>
  <c r="P293" i="4"/>
  <c r="P292" i="4"/>
  <c r="P291" i="4"/>
  <c r="P295" i="4"/>
  <c r="P294" i="4"/>
  <c r="P297" i="4"/>
  <c r="P299" i="4"/>
  <c r="P298" i="4"/>
  <c r="P301" i="4"/>
  <c r="P302" i="4"/>
  <c r="P305" i="4"/>
  <c r="P304" i="4"/>
  <c r="P307" i="4"/>
  <c r="P306" i="4"/>
  <c r="P311" i="4"/>
  <c r="P310" i="4"/>
  <c r="P309" i="4"/>
  <c r="P312" i="4"/>
  <c r="P315" i="4"/>
  <c r="P314" i="4"/>
  <c r="P319" i="4"/>
  <c r="P317" i="4"/>
  <c r="P320" i="4"/>
  <c r="P326" i="4"/>
  <c r="P325" i="4"/>
  <c r="P324" i="4"/>
  <c r="P323" i="4"/>
  <c r="P322" i="4"/>
  <c r="P321" i="4"/>
  <c r="P329" i="4"/>
  <c r="P328" i="4"/>
  <c r="P327" i="4"/>
  <c r="P330" i="4"/>
  <c r="P334" i="4"/>
  <c r="P331" i="4"/>
  <c r="P335" i="4"/>
  <c r="P336" i="4"/>
  <c r="P338" i="4"/>
  <c r="P339" i="4"/>
  <c r="P340" i="4"/>
  <c r="P341" i="4"/>
  <c r="P342" i="4"/>
  <c r="P223" i="4"/>
  <c r="P216" i="4"/>
  <c r="P218" i="4"/>
  <c r="P217" i="4"/>
  <c r="P219" i="4"/>
  <c r="P221" i="4"/>
  <c r="P220" i="4"/>
  <c r="P222" i="4"/>
  <c r="P211" i="4"/>
  <c r="P212" i="4"/>
  <c r="P213" i="4"/>
  <c r="P214" i="4"/>
  <c r="P215" i="4"/>
  <c r="P203" i="4"/>
  <c r="P204" i="4"/>
  <c r="P205" i="4"/>
  <c r="P206" i="4"/>
  <c r="P207" i="4"/>
  <c r="P208" i="4"/>
  <c r="P210" i="4"/>
  <c r="P199" i="4"/>
  <c r="P201" i="4"/>
  <c r="P202" i="4"/>
  <c r="P193" i="4"/>
  <c r="P194" i="4"/>
  <c r="P195" i="4"/>
  <c r="P196" i="4"/>
  <c r="P197" i="4"/>
  <c r="P192" i="4"/>
  <c r="P191" i="4"/>
  <c r="P183" i="4"/>
  <c r="P184" i="4"/>
  <c r="P185" i="4"/>
  <c r="P187" i="4"/>
  <c r="P188" i="4"/>
  <c r="P190" i="4"/>
  <c r="P180" i="4"/>
  <c r="P181" i="4"/>
  <c r="P161" i="4"/>
  <c r="P162" i="4"/>
  <c r="P163" i="4"/>
  <c r="P164" i="4"/>
  <c r="P165" i="4"/>
  <c r="P167" i="4"/>
  <c r="P169" i="4"/>
  <c r="P170" i="4"/>
  <c r="P171" i="4"/>
  <c r="P173" i="4"/>
  <c r="P175" i="4"/>
  <c r="P177" i="4"/>
  <c r="P160" i="4"/>
  <c r="P127" i="4"/>
  <c r="P128" i="4"/>
  <c r="P129" i="4"/>
  <c r="P131" i="4"/>
  <c r="P134" i="4"/>
  <c r="P135" i="4"/>
  <c r="P139" i="4"/>
  <c r="P141" i="4"/>
  <c r="P142" i="4"/>
  <c r="P143" i="4"/>
  <c r="P147" i="4"/>
  <c r="P146" i="4"/>
  <c r="P145" i="4"/>
  <c r="P148" i="4"/>
  <c r="P152" i="4"/>
  <c r="P151" i="4"/>
  <c r="P155" i="4"/>
  <c r="P154" i="4"/>
  <c r="P157" i="4"/>
  <c r="P158" i="4"/>
  <c r="P159" i="4"/>
  <c r="P120" i="4"/>
  <c r="P121" i="4"/>
  <c r="P122" i="4"/>
  <c r="P123" i="4"/>
  <c r="P126" i="4"/>
  <c r="P125" i="4"/>
  <c r="P124" i="4"/>
  <c r="P119" i="4"/>
  <c r="P118" i="4"/>
  <c r="P110" i="4"/>
  <c r="P111" i="4"/>
  <c r="P112" i="4"/>
  <c r="P113" i="4"/>
  <c r="P115" i="4"/>
  <c r="P116" i="4"/>
  <c r="P117" i="4"/>
  <c r="P104" i="4"/>
  <c r="P105" i="4"/>
  <c r="P107" i="4"/>
  <c r="P106" i="4"/>
  <c r="P108" i="4"/>
  <c r="P109" i="4"/>
  <c r="P102" i="4"/>
  <c r="P100" i="4"/>
  <c r="P101" i="4"/>
  <c r="P92" i="4"/>
  <c r="P93" i="4"/>
  <c r="P96" i="4"/>
  <c r="P97" i="4"/>
  <c r="P98" i="4"/>
  <c r="P99" i="4"/>
  <c r="P91" i="4"/>
  <c r="P90" i="4"/>
  <c r="P63" i="4"/>
  <c r="P64" i="4"/>
  <c r="P66" i="4"/>
  <c r="P68" i="4"/>
  <c r="P67" i="4"/>
  <c r="P69" i="4"/>
  <c r="P71" i="4"/>
  <c r="P72" i="4"/>
  <c r="P73" i="4"/>
  <c r="P74" i="4"/>
  <c r="P76" i="4"/>
  <c r="P75" i="4"/>
  <c r="P77" i="4"/>
  <c r="P79" i="4"/>
  <c r="P80" i="4"/>
  <c r="P81" i="4"/>
  <c r="P82" i="4"/>
  <c r="P83" i="4"/>
  <c r="P84" i="4"/>
  <c r="P87" i="4"/>
  <c r="P86" i="4"/>
  <c r="P88" i="4"/>
  <c r="P89" i="4"/>
  <c r="P60" i="4"/>
  <c r="P61" i="4"/>
  <c r="P62" i="4"/>
  <c r="P13" i="4"/>
  <c r="P14" i="4"/>
  <c r="P15" i="4"/>
  <c r="P17" i="4"/>
  <c r="P16" i="4"/>
  <c r="P18" i="4"/>
  <c r="P20" i="4"/>
  <c r="P19" i="4"/>
  <c r="P23" i="4"/>
  <c r="P22" i="4"/>
  <c r="P24" i="4"/>
  <c r="P25" i="4"/>
  <c r="P26" i="4"/>
  <c r="P30" i="4"/>
  <c r="P28" i="4"/>
  <c r="P32" i="4"/>
  <c r="P31" i="4"/>
  <c r="P35" i="4"/>
  <c r="P34" i="4"/>
  <c r="P33" i="4"/>
  <c r="P36" i="4"/>
  <c r="P38" i="4"/>
  <c r="P39" i="4"/>
  <c r="P41" i="4"/>
  <c r="P43" i="4"/>
  <c r="P42" i="4"/>
  <c r="P46" i="4"/>
  <c r="P45" i="4"/>
  <c r="P49" i="4"/>
  <c r="P48" i="4"/>
  <c r="P47" i="4"/>
  <c r="P53" i="4"/>
  <c r="P52" i="4"/>
  <c r="P51" i="4"/>
  <c r="P55" i="4"/>
  <c r="P57" i="4"/>
  <c r="P59" i="4"/>
  <c r="P12" i="4"/>
  <c r="P4" i="4"/>
  <c r="P10" i="4"/>
  <c r="P9" i="4"/>
  <c r="P8" i="4"/>
  <c r="P7" i="4"/>
  <c r="P6" i="4"/>
  <c r="P5" i="4"/>
  <c r="O449" i="4"/>
  <c r="O398" i="4"/>
  <c r="O350" i="4"/>
  <c r="O343" i="4"/>
  <c r="O227" i="4"/>
  <c r="O229" i="4"/>
  <c r="O231" i="4"/>
  <c r="O234" i="4"/>
  <c r="O235" i="4"/>
  <c r="O236" i="4"/>
  <c r="O240" i="4"/>
  <c r="O253" i="4"/>
  <c r="O255" i="4"/>
  <c r="O259" i="4"/>
  <c r="O263" i="4"/>
  <c r="O261" i="4"/>
  <c r="O275" i="4"/>
  <c r="O281" i="4"/>
  <c r="O280" i="4"/>
  <c r="O282" i="4"/>
  <c r="O283" i="4"/>
  <c r="O290" i="4"/>
  <c r="O289" i="4"/>
  <c r="O288" i="4"/>
  <c r="O287" i="4"/>
  <c r="O293" i="4"/>
  <c r="O291" i="4"/>
  <c r="O297" i="4"/>
  <c r="O298" i="4"/>
  <c r="O301" i="4"/>
  <c r="O302" i="4"/>
  <c r="O305" i="4"/>
  <c r="O307" i="4"/>
  <c r="O306" i="4"/>
  <c r="O314" i="4"/>
  <c r="O317" i="4"/>
  <c r="O326" i="4"/>
  <c r="O322" i="4"/>
  <c r="O328" i="4"/>
  <c r="O330" i="4"/>
  <c r="O333" i="4"/>
  <c r="O336" i="4"/>
  <c r="O338" i="4"/>
  <c r="O223" i="4"/>
  <c r="O164" i="4"/>
  <c r="O168" i="4"/>
  <c r="O121" i="4"/>
  <c r="O126" i="4"/>
  <c r="O125" i="4"/>
  <c r="O124" i="4"/>
  <c r="O119" i="4"/>
  <c r="O118" i="4"/>
  <c r="O104" i="4"/>
  <c r="O105" i="4"/>
  <c r="O107" i="4"/>
  <c r="O106" i="4"/>
  <c r="O108" i="4"/>
  <c r="O93" i="4"/>
  <c r="O91" i="4"/>
  <c r="O64" i="4"/>
  <c r="O14" i="4"/>
  <c r="O17" i="4"/>
  <c r="O18" i="4"/>
  <c r="O24" i="4"/>
  <c r="O35" i="4"/>
  <c r="O38" i="4"/>
  <c r="AA784" i="5"/>
  <c r="AA783" i="5"/>
  <c r="AA782" i="5"/>
  <c r="AA781" i="5"/>
  <c r="AA780" i="5"/>
  <c r="AA779" i="5"/>
  <c r="AA778" i="5"/>
  <c r="AA777" i="5"/>
  <c r="AA775" i="5"/>
  <c r="AA773" i="5"/>
  <c r="AA772" i="5"/>
  <c r="AA771" i="5"/>
  <c r="AA769" i="5"/>
  <c r="Z769" i="5"/>
  <c r="AA768" i="5"/>
  <c r="Z768" i="5"/>
  <c r="AA767" i="5"/>
  <c r="AA763" i="5"/>
  <c r="AA761" i="5"/>
  <c r="AA760" i="5"/>
  <c r="AA759" i="5"/>
  <c r="AA758" i="5"/>
  <c r="AA757" i="5"/>
  <c r="AA755" i="5"/>
  <c r="AA752" i="5"/>
  <c r="AA751" i="5"/>
  <c r="AA750" i="5"/>
  <c r="AA747" i="5"/>
  <c r="AA745" i="5"/>
  <c r="AA744" i="5"/>
  <c r="AA743" i="5"/>
  <c r="AA742" i="5"/>
  <c r="AA741" i="5"/>
  <c r="AA740" i="5"/>
  <c r="AA739" i="5"/>
  <c r="AA738" i="5"/>
  <c r="AA737" i="5"/>
  <c r="AA736" i="5"/>
  <c r="AA731" i="5"/>
  <c r="AA729" i="5"/>
  <c r="AA728" i="5"/>
  <c r="AA727" i="5"/>
  <c r="AA725" i="5"/>
  <c r="AA724" i="5"/>
  <c r="AA722" i="5"/>
  <c r="AA721" i="5"/>
  <c r="AA719" i="5"/>
  <c r="AA718" i="5"/>
  <c r="AA713" i="5"/>
  <c r="AA712" i="5"/>
  <c r="AA711" i="5"/>
  <c r="AA710" i="5"/>
  <c r="AA709" i="5"/>
  <c r="AA708" i="5"/>
  <c r="AA707" i="5"/>
  <c r="AA706" i="5"/>
  <c r="AA705" i="5"/>
  <c r="AA704" i="5"/>
  <c r="AA703" i="5"/>
  <c r="AA702" i="5"/>
  <c r="AA701" i="5"/>
  <c r="AA700" i="5"/>
  <c r="AA699" i="5"/>
  <c r="AA698" i="5"/>
  <c r="AA697" i="5"/>
  <c r="AA696" i="5"/>
  <c r="AA695" i="5"/>
  <c r="AA694" i="5"/>
  <c r="AA693" i="5"/>
  <c r="AA692" i="5"/>
  <c r="AA691" i="5"/>
  <c r="AA690" i="5"/>
  <c r="AA689" i="5"/>
  <c r="AA688" i="5"/>
  <c r="AA687" i="5"/>
  <c r="AA686" i="5"/>
  <c r="AA685" i="5"/>
  <c r="AA684" i="5"/>
  <c r="AA683" i="5"/>
  <c r="AA682" i="5"/>
  <c r="AA680" i="5"/>
  <c r="AA679" i="5"/>
  <c r="AA677" i="5"/>
  <c r="AA676" i="5"/>
  <c r="AA675" i="5"/>
  <c r="AA674" i="5"/>
  <c r="Z674" i="5"/>
  <c r="Y674" i="5"/>
  <c r="AA673" i="5"/>
  <c r="Z673" i="5"/>
  <c r="AA672" i="5"/>
  <c r="Z672" i="5"/>
  <c r="AA671" i="5"/>
  <c r="Z671" i="5"/>
  <c r="AA670" i="5"/>
  <c r="Z670" i="5"/>
  <c r="AA669" i="5"/>
  <c r="Z669" i="5"/>
  <c r="AA667" i="5"/>
  <c r="AA666" i="5"/>
  <c r="Z666" i="5"/>
  <c r="AA665" i="5"/>
  <c r="AA664" i="5"/>
  <c r="AA663" i="5"/>
  <c r="AA660" i="5"/>
  <c r="AA656" i="5"/>
  <c r="AA655" i="5"/>
  <c r="Z655" i="5"/>
  <c r="AA654" i="5"/>
  <c r="AA653" i="5"/>
  <c r="AA652" i="5"/>
  <c r="AA651" i="5"/>
  <c r="AA650" i="5"/>
  <c r="AA649" i="5"/>
  <c r="AA645" i="5"/>
  <c r="AA644" i="5"/>
  <c r="AA643" i="5"/>
  <c r="AA642" i="5"/>
  <c r="AA641" i="5"/>
  <c r="AA640" i="5"/>
  <c r="AA638" i="5"/>
  <c r="AA636" i="5"/>
  <c r="AA635" i="5"/>
  <c r="AA634" i="5"/>
  <c r="AA633" i="5"/>
  <c r="AA632" i="5"/>
  <c r="AA631" i="5"/>
  <c r="AA630" i="5"/>
  <c r="AA628" i="5"/>
  <c r="AA627" i="5"/>
  <c r="AA626" i="5"/>
  <c r="AA625" i="5"/>
  <c r="AA624" i="5"/>
  <c r="AA623" i="5"/>
  <c r="AA622" i="5"/>
  <c r="AA621" i="5"/>
  <c r="AA620" i="5"/>
  <c r="AA618" i="5"/>
  <c r="AA617" i="5"/>
  <c r="AA616" i="5"/>
  <c r="AA614" i="5"/>
  <c r="AA613" i="5"/>
  <c r="AA612" i="5"/>
  <c r="AA610" i="5"/>
  <c r="AA609" i="5"/>
  <c r="AA607" i="5"/>
  <c r="AA606" i="5"/>
  <c r="Z606" i="5"/>
  <c r="AA605" i="5"/>
  <c r="Z605" i="5"/>
  <c r="AA604" i="5"/>
  <c r="Z604" i="5"/>
  <c r="AA603" i="5"/>
  <c r="Z603" i="5"/>
  <c r="AA601" i="5"/>
  <c r="AA600" i="5"/>
  <c r="AA599" i="5"/>
  <c r="Z599" i="5"/>
  <c r="AA597" i="5"/>
  <c r="AA596" i="5"/>
  <c r="AA595" i="5"/>
  <c r="AA593" i="5"/>
  <c r="AA592" i="5"/>
  <c r="AA591" i="5"/>
  <c r="AA589" i="5"/>
  <c r="AA588" i="5"/>
  <c r="Z588" i="5"/>
  <c r="AA587" i="5"/>
  <c r="AA586" i="5"/>
  <c r="AA585" i="5"/>
  <c r="AA584" i="5"/>
  <c r="AA583" i="5"/>
  <c r="AA582" i="5"/>
  <c r="AA581" i="5"/>
  <c r="AA580" i="5"/>
  <c r="AA577" i="5"/>
  <c r="AA576" i="5"/>
  <c r="AA574" i="5"/>
  <c r="AA573" i="5"/>
  <c r="AA572" i="5"/>
  <c r="Z572" i="5"/>
  <c r="AA571" i="5"/>
  <c r="AA569" i="5"/>
  <c r="AA567" i="5"/>
  <c r="Z567" i="5"/>
  <c r="AA566" i="5"/>
  <c r="Z566" i="5"/>
  <c r="AA565" i="5"/>
  <c r="Z565" i="5"/>
  <c r="AA564" i="5"/>
  <c r="Z564" i="5"/>
  <c r="AA563" i="5"/>
  <c r="Z563" i="5"/>
  <c r="AA562" i="5"/>
  <c r="Z562" i="5"/>
  <c r="Y562" i="5"/>
  <c r="AA561" i="5"/>
  <c r="Z561" i="5"/>
  <c r="AA560" i="5"/>
  <c r="AA559" i="5"/>
  <c r="Z559" i="5"/>
  <c r="Z558" i="5"/>
  <c r="AA557" i="5"/>
  <c r="Z557" i="5"/>
  <c r="AA556" i="5"/>
  <c r="Z556" i="5"/>
  <c r="AA555" i="5"/>
  <c r="Z555" i="5"/>
  <c r="AA552" i="5"/>
  <c r="AA551" i="5"/>
  <c r="Z551" i="5"/>
  <c r="Z550" i="5"/>
  <c r="AA549" i="5"/>
  <c r="AA548" i="5"/>
  <c r="AA547" i="5"/>
  <c r="Z547" i="5"/>
  <c r="AA546" i="5"/>
  <c r="AA545" i="5"/>
  <c r="Z545" i="5"/>
  <c r="AA544" i="5"/>
  <c r="Z544" i="5"/>
  <c r="AA543" i="5"/>
  <c r="Z543" i="5"/>
  <c r="AA541" i="5"/>
  <c r="Z541" i="5"/>
  <c r="AA540" i="5"/>
  <c r="Z540" i="5"/>
  <c r="AA539" i="5"/>
  <c r="Z539" i="5"/>
  <c r="AA538" i="5"/>
  <c r="Z538" i="5"/>
  <c r="AA537" i="5"/>
  <c r="Z537" i="5"/>
  <c r="AA536" i="5"/>
  <c r="AA535" i="5"/>
  <c r="AA534" i="5"/>
  <c r="Z534" i="5"/>
  <c r="AA533" i="5"/>
  <c r="AA532" i="5"/>
  <c r="AA530" i="5"/>
  <c r="AA529" i="5"/>
  <c r="AA528" i="5"/>
  <c r="AA527" i="5"/>
  <c r="Z527" i="5"/>
  <c r="AA526" i="5"/>
  <c r="Z526" i="5"/>
  <c r="AA525" i="5"/>
  <c r="AA524" i="5"/>
  <c r="AA523" i="5"/>
  <c r="Z523" i="5"/>
  <c r="Z522" i="5"/>
  <c r="Y522" i="5"/>
  <c r="AA521" i="5"/>
  <c r="AA520" i="5"/>
  <c r="AA519" i="5"/>
  <c r="Z519" i="5"/>
  <c r="AA518" i="5"/>
  <c r="Z518" i="5"/>
  <c r="AA517" i="5"/>
  <c r="Z517" i="5"/>
  <c r="AA515" i="5"/>
  <c r="AA514" i="5"/>
  <c r="Z514" i="5"/>
  <c r="AA513" i="5"/>
  <c r="Z513" i="5"/>
  <c r="AA512" i="5"/>
  <c r="Z512" i="5"/>
  <c r="AA510" i="5"/>
  <c r="Z510" i="5"/>
  <c r="Y510" i="5"/>
  <c r="AA509" i="5"/>
  <c r="Z509" i="5"/>
  <c r="AA507" i="5"/>
  <c r="Z507" i="5"/>
  <c r="AA506" i="5"/>
  <c r="Z506" i="5"/>
  <c r="Z504" i="5"/>
  <c r="AA503" i="5"/>
  <c r="AA501" i="5"/>
  <c r="Z501" i="5"/>
  <c r="AA500" i="5"/>
  <c r="Z500" i="5"/>
  <c r="AA499" i="5"/>
  <c r="Z499" i="5"/>
  <c r="Y499" i="5"/>
  <c r="AA498" i="5"/>
  <c r="Z498" i="5"/>
  <c r="AA497" i="5"/>
  <c r="Z497" i="5"/>
  <c r="AA496" i="5"/>
  <c r="Z496" i="5"/>
  <c r="AA495" i="5"/>
  <c r="Z495" i="5"/>
  <c r="AA494" i="5"/>
  <c r="Z494" i="5"/>
  <c r="AA493" i="5"/>
  <c r="Z493" i="5"/>
  <c r="AA492" i="5"/>
  <c r="Z491" i="5"/>
  <c r="Y491" i="5"/>
  <c r="Z490" i="5"/>
  <c r="AA489" i="5"/>
  <c r="Z489" i="5"/>
  <c r="AA488" i="5"/>
  <c r="Z488" i="5"/>
  <c r="AA487" i="5"/>
  <c r="AA486" i="5"/>
  <c r="Z486" i="5"/>
  <c r="AA485" i="5"/>
  <c r="AA484" i="5"/>
  <c r="Z484" i="5"/>
  <c r="AA483" i="5"/>
  <c r="Z483" i="5"/>
  <c r="Z482" i="5"/>
  <c r="AA481" i="5"/>
  <c r="Z481" i="5"/>
  <c r="AA480" i="5"/>
  <c r="Z480" i="5"/>
  <c r="AA479" i="5"/>
  <c r="Z479" i="5"/>
  <c r="AA478" i="5"/>
  <c r="Z478" i="5"/>
  <c r="AA477" i="5"/>
  <c r="Z477" i="5"/>
  <c r="AA476" i="5"/>
  <c r="AA475" i="5"/>
  <c r="Z474" i="5"/>
  <c r="AA471" i="5"/>
  <c r="AA469" i="5"/>
  <c r="Z469" i="5"/>
  <c r="AA468" i="5"/>
  <c r="Z468" i="5"/>
  <c r="AA467" i="5"/>
  <c r="Z467" i="5"/>
  <c r="AA466" i="5"/>
  <c r="Z466" i="5"/>
  <c r="AA465" i="5"/>
  <c r="Z465" i="5"/>
  <c r="Y465" i="5"/>
  <c r="AA461" i="5"/>
  <c r="Z461" i="5"/>
  <c r="AA460" i="5"/>
  <c r="AA459" i="5"/>
  <c r="Z459" i="5"/>
  <c r="Y459" i="5"/>
  <c r="Z458" i="5"/>
  <c r="AA457" i="5"/>
  <c r="AA456" i="5"/>
  <c r="AA455" i="5"/>
  <c r="Z455" i="5"/>
  <c r="AA454" i="5"/>
  <c r="Z454" i="5"/>
  <c r="AA453" i="5"/>
  <c r="Z453" i="5"/>
  <c r="AA450" i="5"/>
  <c r="Z450" i="5"/>
  <c r="Z449" i="5"/>
  <c r="AA448" i="5"/>
  <c r="Z448" i="5"/>
  <c r="AA447" i="5"/>
  <c r="AA446" i="5"/>
  <c r="Z446" i="5"/>
  <c r="AA445" i="5"/>
  <c r="Z445" i="5"/>
  <c r="AA444" i="5"/>
  <c r="Z444" i="5"/>
  <c r="AA443" i="5"/>
  <c r="AA442" i="5"/>
  <c r="AA440" i="5"/>
  <c r="Z439" i="5"/>
  <c r="AA438" i="5"/>
  <c r="AA437" i="5"/>
  <c r="Z437" i="5"/>
  <c r="AA435" i="5"/>
  <c r="Z435" i="5"/>
  <c r="Y435" i="5"/>
  <c r="AA433" i="5"/>
  <c r="AA432" i="5"/>
  <c r="Z432" i="5"/>
  <c r="AA431" i="5"/>
  <c r="Z431" i="5"/>
  <c r="AA430" i="5"/>
  <c r="Z430" i="5"/>
  <c r="AA429" i="5"/>
  <c r="AA428" i="5"/>
  <c r="AA427" i="5"/>
  <c r="AA425" i="5"/>
  <c r="Z425" i="5"/>
  <c r="AA424" i="5"/>
  <c r="AA423" i="5"/>
  <c r="AA422" i="5"/>
  <c r="AA421" i="5"/>
  <c r="AA419" i="5"/>
  <c r="AA418" i="5"/>
  <c r="AA417" i="5"/>
  <c r="AA415" i="5"/>
  <c r="Z415" i="5"/>
  <c r="AA414" i="5"/>
  <c r="AA413" i="5"/>
  <c r="AA411" i="5"/>
  <c r="Z411" i="5"/>
  <c r="AA410" i="5"/>
  <c r="AA409" i="5"/>
  <c r="AA408" i="5"/>
  <c r="Z408" i="5"/>
  <c r="AA406" i="5"/>
  <c r="AA405" i="5"/>
  <c r="AA404" i="5"/>
  <c r="Z404" i="5"/>
  <c r="AA403" i="5"/>
  <c r="AA402" i="5"/>
  <c r="Z402" i="5"/>
  <c r="AA400" i="5"/>
  <c r="AA398" i="5"/>
  <c r="AA395" i="5"/>
  <c r="AA394" i="5"/>
  <c r="AA392" i="5"/>
  <c r="AA391" i="5"/>
  <c r="AA389" i="5"/>
  <c r="AA388" i="5"/>
  <c r="AA387" i="5"/>
  <c r="Z387" i="5"/>
  <c r="AA386" i="5"/>
  <c r="Z386" i="5"/>
  <c r="Y386" i="5"/>
  <c r="AA385" i="5"/>
  <c r="Z385" i="5"/>
  <c r="AA384" i="5"/>
  <c r="Z384" i="5"/>
  <c r="AA383" i="5"/>
  <c r="AA382" i="5"/>
  <c r="AA381" i="5"/>
  <c r="Z381" i="5"/>
  <c r="AA380" i="5"/>
  <c r="Z380" i="5"/>
  <c r="AA379" i="5"/>
  <c r="Z379" i="5"/>
  <c r="AA378" i="5"/>
  <c r="Z378" i="5"/>
  <c r="AA377" i="5"/>
  <c r="Z377" i="5"/>
  <c r="AA375" i="5"/>
  <c r="Z375" i="5"/>
  <c r="Y375" i="5"/>
  <c r="AA374" i="5"/>
  <c r="AA373" i="5"/>
  <c r="Z373" i="5"/>
  <c r="AA372" i="5"/>
  <c r="AA371" i="5"/>
  <c r="AA369" i="5"/>
  <c r="Z369" i="5"/>
  <c r="AA368" i="5"/>
  <c r="AA367" i="5"/>
  <c r="Z367" i="5"/>
  <c r="AA366" i="5"/>
  <c r="Z366" i="5"/>
  <c r="AA363" i="5"/>
  <c r="Z363" i="5"/>
  <c r="AA362" i="5"/>
  <c r="Z362" i="5"/>
  <c r="AA361" i="5"/>
  <c r="AA360" i="5"/>
  <c r="Z360" i="5"/>
  <c r="AA359" i="5"/>
  <c r="Z359" i="5"/>
  <c r="AA358" i="5"/>
  <c r="AA357" i="5"/>
  <c r="AA356" i="5"/>
  <c r="AA353" i="5"/>
  <c r="AA351" i="5"/>
  <c r="AA350" i="5"/>
  <c r="Z350" i="5"/>
  <c r="AA349" i="5"/>
  <c r="AA347" i="5"/>
  <c r="Z347" i="5"/>
  <c r="AA346" i="5"/>
  <c r="AA345" i="5"/>
  <c r="Z345" i="5"/>
  <c r="Y345" i="5"/>
  <c r="AA344" i="5"/>
  <c r="AA343" i="5"/>
  <c r="AA342" i="5"/>
  <c r="AA341" i="5"/>
  <c r="Z341" i="5"/>
  <c r="AA340" i="5"/>
  <c r="AA339" i="5"/>
  <c r="AA338" i="5"/>
  <c r="Z338" i="5"/>
  <c r="Y338" i="5"/>
  <c r="AA337" i="5"/>
  <c r="AA336" i="5"/>
  <c r="Z336" i="5"/>
  <c r="AA335" i="5"/>
  <c r="Z334" i="5"/>
  <c r="AA332" i="5"/>
  <c r="AA331" i="5"/>
  <c r="AA329" i="5"/>
  <c r="Z329" i="5"/>
  <c r="AA328" i="5"/>
  <c r="Z328" i="5"/>
  <c r="Y328" i="5"/>
  <c r="AA327" i="5"/>
  <c r="AA326" i="5"/>
  <c r="AA325" i="5"/>
  <c r="AA324" i="5"/>
  <c r="AA323" i="5"/>
  <c r="AA322" i="5"/>
  <c r="AA321" i="5"/>
  <c r="AA320" i="5"/>
  <c r="Z320" i="5"/>
  <c r="Y320" i="5"/>
  <c r="AA319" i="5"/>
  <c r="AA318" i="5"/>
  <c r="AA317" i="5"/>
  <c r="AA316" i="5"/>
  <c r="AA315" i="5"/>
  <c r="AA314" i="5"/>
  <c r="AA313" i="5"/>
  <c r="AA312" i="5"/>
  <c r="AA311" i="5"/>
  <c r="AA310" i="5"/>
  <c r="AA309" i="5"/>
  <c r="AA308" i="5"/>
  <c r="AA307" i="5"/>
  <c r="AA306" i="5"/>
  <c r="AA305" i="5"/>
  <c r="AA304" i="5"/>
  <c r="AA303" i="5"/>
  <c r="AA302" i="5"/>
  <c r="AA300" i="5"/>
  <c r="AA298" i="5"/>
  <c r="AA296" i="5"/>
  <c r="AA295" i="5"/>
  <c r="AA294" i="5"/>
  <c r="AA293" i="5"/>
  <c r="AA292" i="5"/>
  <c r="AA291" i="5"/>
  <c r="AA290" i="5"/>
  <c r="AA289" i="5"/>
  <c r="AA288" i="5"/>
  <c r="AA287" i="5"/>
  <c r="Z287" i="5"/>
  <c r="AA286" i="5"/>
  <c r="Z286" i="5"/>
  <c r="AA285" i="5"/>
  <c r="Z285" i="5"/>
  <c r="AA284" i="5"/>
  <c r="AA283" i="5"/>
  <c r="AA282" i="5"/>
  <c r="AA281" i="5"/>
  <c r="AA280" i="5"/>
  <c r="AA278" i="5"/>
  <c r="AA276" i="5"/>
  <c r="AA272" i="5"/>
  <c r="AA271" i="5"/>
  <c r="AA270" i="5"/>
  <c r="AA269" i="5"/>
  <c r="AA268" i="5"/>
  <c r="AA267" i="5"/>
  <c r="AA266" i="5"/>
  <c r="AA265" i="5"/>
  <c r="AA264" i="5"/>
  <c r="Z264" i="5"/>
  <c r="AA263" i="5"/>
  <c r="AA261" i="5"/>
  <c r="AA260" i="5"/>
  <c r="Z259" i="5"/>
  <c r="AA258" i="5"/>
  <c r="AA257" i="5"/>
  <c r="AA255" i="5"/>
  <c r="AA253" i="5"/>
  <c r="AA251" i="5"/>
  <c r="AA250" i="5"/>
  <c r="AA247" i="5"/>
  <c r="AA246" i="5"/>
  <c r="AA243" i="5"/>
  <c r="Z243" i="5"/>
  <c r="AA242" i="5"/>
  <c r="AA240" i="5"/>
  <c r="AA239" i="5"/>
  <c r="AA238" i="5"/>
  <c r="AA237" i="5"/>
  <c r="AA236" i="5"/>
  <c r="AA233" i="5"/>
  <c r="AA230" i="5"/>
  <c r="AA227" i="5"/>
  <c r="AA225" i="5"/>
  <c r="AA224" i="5"/>
  <c r="AA223" i="5"/>
  <c r="AA221" i="5"/>
  <c r="AA220" i="5"/>
  <c r="AA219" i="5"/>
  <c r="AA218" i="5"/>
  <c r="AA214" i="5"/>
  <c r="AA213" i="5"/>
  <c r="AA212" i="5"/>
  <c r="AA211" i="5"/>
  <c r="AA210" i="5"/>
  <c r="AA208" i="5"/>
  <c r="AA207" i="5"/>
  <c r="AA206" i="5"/>
  <c r="Z206" i="5"/>
  <c r="AA205" i="5"/>
  <c r="Z205" i="5"/>
  <c r="AA199" i="5"/>
  <c r="AA173" i="5"/>
  <c r="AA172" i="5"/>
  <c r="Z172" i="5"/>
  <c r="AA171" i="5"/>
  <c r="AA170" i="5"/>
  <c r="AA169" i="5"/>
  <c r="Z169" i="5"/>
  <c r="AA168" i="5"/>
  <c r="Z168" i="5"/>
  <c r="AA167" i="5"/>
  <c r="Z167" i="5"/>
  <c r="AA166" i="5"/>
  <c r="AA165" i="5"/>
  <c r="Z165" i="5"/>
  <c r="AA164" i="5"/>
  <c r="Z164" i="5"/>
  <c r="AA163" i="5"/>
  <c r="Z163" i="5"/>
  <c r="AA162" i="5"/>
  <c r="Z162" i="5"/>
  <c r="Z161" i="5"/>
  <c r="AA160" i="5"/>
  <c r="AA159" i="5"/>
  <c r="AA158" i="5"/>
  <c r="AA157" i="5"/>
  <c r="AA155" i="5"/>
  <c r="AA154" i="5"/>
  <c r="AA153" i="5"/>
  <c r="Z152" i="5"/>
  <c r="Z151" i="5"/>
  <c r="AA150" i="5"/>
  <c r="Z150" i="5"/>
  <c r="Z149" i="5"/>
  <c r="AA148" i="5"/>
  <c r="Z148" i="5"/>
  <c r="AA147" i="5"/>
  <c r="Z147" i="5"/>
  <c r="AA146" i="5"/>
  <c r="Z146" i="5"/>
  <c r="AA145" i="5"/>
  <c r="Z145" i="5"/>
  <c r="AA144" i="5"/>
  <c r="Z144" i="5"/>
  <c r="AA143" i="5"/>
  <c r="Z143" i="5"/>
  <c r="AA142" i="5"/>
  <c r="Z142" i="5"/>
  <c r="Y142" i="5"/>
  <c r="AA141" i="5"/>
  <c r="Z141" i="5"/>
  <c r="AA140" i="5"/>
  <c r="Z140" i="5"/>
  <c r="AA139" i="5"/>
  <c r="Z139" i="5"/>
  <c r="Z138" i="5"/>
  <c r="Z137" i="5"/>
  <c r="AA136" i="5"/>
  <c r="Z136" i="5"/>
  <c r="AA135" i="5"/>
  <c r="Z135" i="5"/>
  <c r="Z134" i="5"/>
  <c r="AA133" i="5"/>
  <c r="Z133" i="5"/>
  <c r="AA132" i="5"/>
  <c r="Z132" i="5"/>
  <c r="AA131" i="5"/>
  <c r="Z131" i="5"/>
  <c r="AA129" i="5"/>
  <c r="Z129" i="5"/>
  <c r="AA128" i="5"/>
  <c r="Z128" i="5"/>
  <c r="AA127" i="5"/>
  <c r="Z127" i="5"/>
  <c r="Y127" i="5"/>
  <c r="AA126" i="5"/>
  <c r="Z126" i="5"/>
  <c r="Y126" i="5"/>
  <c r="AA125" i="5"/>
  <c r="AA124" i="5"/>
  <c r="AA123" i="5"/>
  <c r="AA122" i="5"/>
  <c r="AA121" i="5"/>
  <c r="Z120" i="5"/>
  <c r="AA119" i="5"/>
  <c r="AA118" i="5"/>
  <c r="AA116" i="5"/>
  <c r="AA115" i="5"/>
  <c r="Z115" i="5"/>
  <c r="AA112" i="5"/>
  <c r="AA111" i="5"/>
  <c r="AA110" i="5"/>
  <c r="AA109" i="5"/>
  <c r="AA108" i="5"/>
  <c r="Z108" i="5"/>
  <c r="AA107" i="5"/>
  <c r="Z106" i="5"/>
  <c r="AA105" i="5"/>
  <c r="AA103" i="5"/>
  <c r="AA102" i="5"/>
  <c r="AA101" i="5"/>
  <c r="AA99" i="5"/>
  <c r="AA98" i="5"/>
  <c r="Z98" i="5"/>
  <c r="AA96" i="5"/>
  <c r="AA95" i="5"/>
  <c r="AA94" i="5"/>
  <c r="AA93" i="5"/>
  <c r="AA91" i="5"/>
  <c r="AA90" i="5"/>
  <c r="AA89" i="5"/>
  <c r="AA88" i="5"/>
  <c r="AA87" i="5"/>
  <c r="AA86" i="5"/>
  <c r="AA85" i="5"/>
  <c r="AA83" i="5"/>
  <c r="AA82" i="5"/>
  <c r="AA81" i="5"/>
  <c r="AA80" i="5"/>
  <c r="AA79" i="5"/>
  <c r="AA78" i="5"/>
  <c r="AA77" i="5"/>
  <c r="AA76" i="5"/>
  <c r="AA74" i="5"/>
  <c r="AA73" i="5"/>
  <c r="AA72" i="5"/>
  <c r="AA71" i="5"/>
  <c r="AA70" i="5"/>
  <c r="AA69" i="5"/>
  <c r="AA68" i="5"/>
  <c r="AA67" i="5"/>
  <c r="AA65" i="5"/>
  <c r="AA62" i="5"/>
  <c r="AA61" i="5"/>
  <c r="AA60" i="5"/>
  <c r="AA59" i="5"/>
  <c r="AA58" i="5"/>
  <c r="AA57" i="5"/>
  <c r="Z57" i="5"/>
  <c r="Y57" i="5"/>
  <c r="AA56" i="5"/>
  <c r="AA55" i="5"/>
  <c r="Z55" i="5"/>
  <c r="Y55" i="5"/>
  <c r="AA54" i="5"/>
  <c r="AA53" i="5"/>
  <c r="Z53" i="5"/>
  <c r="AA52" i="5"/>
  <c r="AA51" i="5"/>
  <c r="AA49" i="5"/>
  <c r="AA48" i="5"/>
  <c r="AA47" i="5"/>
  <c r="Z47" i="5"/>
  <c r="AA46" i="5"/>
  <c r="AA45" i="5"/>
  <c r="AA43" i="5"/>
  <c r="AA41" i="5"/>
  <c r="AA40" i="5"/>
  <c r="AA39" i="5"/>
  <c r="AA38" i="5"/>
  <c r="Z38" i="5"/>
  <c r="AA37" i="5"/>
  <c r="AA36" i="5"/>
  <c r="AA35" i="5"/>
  <c r="AA33" i="5"/>
  <c r="Z33" i="5"/>
  <c r="Y33" i="5"/>
  <c r="AA32" i="5"/>
  <c r="AA30" i="5"/>
  <c r="AA29" i="5"/>
  <c r="AA28" i="5"/>
  <c r="AA26" i="5"/>
  <c r="AA25" i="5"/>
  <c r="AA23" i="5"/>
  <c r="AA22" i="5"/>
  <c r="AA21" i="5"/>
  <c r="AA20" i="5"/>
  <c r="AA19" i="5"/>
  <c r="AA18" i="5"/>
  <c r="AA17" i="5"/>
  <c r="AA13" i="5"/>
  <c r="AA12" i="5"/>
  <c r="AA11" i="5"/>
  <c r="AA10" i="5"/>
  <c r="AA9" i="5"/>
  <c r="AA8" i="5"/>
  <c r="AA7" i="5"/>
  <c r="AA6" i="5"/>
  <c r="AA5" i="5"/>
  <c r="AA4" i="5"/>
</calcChain>
</file>

<file path=xl/sharedStrings.xml><?xml version="1.0" encoding="utf-8"?>
<sst xmlns="http://schemas.openxmlformats.org/spreadsheetml/2006/main" count="18897" uniqueCount="4432">
  <si>
    <t>تاريخ التقرير</t>
  </si>
  <si>
    <t>كود الموظف مصدر التقرير</t>
  </si>
  <si>
    <t>Ahmad Alsamhouri   e2274</t>
  </si>
  <si>
    <t>الرقم المرجعي</t>
  </si>
  <si>
    <t>فئة العقار</t>
  </si>
  <si>
    <t>نوع العقار</t>
  </si>
  <si>
    <t>المحافظة</t>
  </si>
  <si>
    <t>مديرية التسجيل</t>
  </si>
  <si>
    <t>اسم القرية / رقمها</t>
  </si>
  <si>
    <t>اسم الحوض / رقمه</t>
  </si>
  <si>
    <t>المنطقة</t>
  </si>
  <si>
    <t>رقم القطعة</t>
  </si>
  <si>
    <t>رقم الشقة</t>
  </si>
  <si>
    <t>الطابق</t>
  </si>
  <si>
    <t>المساحة</t>
  </si>
  <si>
    <t>فيديو</t>
  </si>
  <si>
    <t>جولة افتراضية</t>
  </si>
  <si>
    <t>موقع العقار</t>
  </si>
  <si>
    <t>السعر</t>
  </si>
  <si>
    <t>الوصف</t>
  </si>
  <si>
    <t>AQ-RE-101103</t>
  </si>
  <si>
    <t>وحدات عقارية</t>
  </si>
  <si>
    <t>المستودع</t>
  </si>
  <si>
    <t>محافظة اربد</t>
  </si>
  <si>
    <t>اراضي اربد (9)</t>
  </si>
  <si>
    <t>اربد (171)</t>
  </si>
  <si>
    <t>المسبغانية الجنوبية (11)</t>
  </si>
  <si>
    <t>شارع الهاشمي</t>
  </si>
  <si>
    <t>0</t>
  </si>
  <si>
    <t>24</t>
  </si>
  <si>
    <t>-</t>
  </si>
  <si>
    <t>مخزن طابق تسوية في محافظة اربد منطقة شارع الهاشمي التنظيم تجاري معارض بمساحة 24 م2</t>
  </si>
  <si>
    <t>AQ-RE-101104</t>
  </si>
  <si>
    <t>-1</t>
  </si>
  <si>
    <t>28</t>
  </si>
  <si>
    <t xml:space="preserve">مخزن طابق تسوية في محافظة اربد منطقة شارع الهاشمي التنظيم تجاري معارض بمساحة 28 م2_x000D_
</t>
  </si>
  <si>
    <t>AQ-RE-101100</t>
  </si>
  <si>
    <t>AQ-RE-101099</t>
  </si>
  <si>
    <t>AQ-RE-101098</t>
  </si>
  <si>
    <t>AQ-RE-101101</t>
  </si>
  <si>
    <t>30</t>
  </si>
  <si>
    <t xml:space="preserve">مخزن طابق تسوية في محافظة اربد منطقة شارع الهاشمي التنظيم تجاري معارض بمساحة 30 م2_x000D_
</t>
  </si>
  <si>
    <t>AQ-RE-101110</t>
  </si>
  <si>
    <t>1</t>
  </si>
  <si>
    <t>20</t>
  </si>
  <si>
    <t xml:space="preserve">مخزن طابق ارضي في محافظة اربد منطقة شارع الهاشمي التنظيم تجاري معارض بمساحة 20 م2_x000D_
</t>
  </si>
  <si>
    <t>AQ-RE-101111</t>
  </si>
  <si>
    <t>45</t>
  </si>
  <si>
    <t xml:space="preserve">مخزن طابق ارضي في محافظة اربد منطقة شارع الهاشمي التنظيم تجاري معارض بمساحة 45 م2_x000D_
</t>
  </si>
  <si>
    <t>AQ-RE-100403</t>
  </si>
  <si>
    <t>رووف</t>
  </si>
  <si>
    <t>اراضي دير ابي سعيد (13)</t>
  </si>
  <si>
    <t>دير ابي سعيد الشرقي (267)</t>
  </si>
  <si>
    <t>البلد (8)</t>
  </si>
  <si>
    <t>دير أبي سعيد</t>
  </si>
  <si>
    <t>3</t>
  </si>
  <si>
    <t>153</t>
  </si>
  <si>
    <t xml:space="preserve">شقة طابق ثالث مساحة 153 م2 في محافظة اربد منطقة دير أبي سعيد تنظيم سكني د_x000D_
</t>
  </si>
  <si>
    <t>AQ-RE-100464</t>
  </si>
  <si>
    <t>شقة</t>
  </si>
  <si>
    <t>البارحه (174)</t>
  </si>
  <si>
    <t>المطلع (9)</t>
  </si>
  <si>
    <t>البارحة</t>
  </si>
  <si>
    <t>87.000</t>
  </si>
  <si>
    <t xml:space="preserve">شقة طابق تسوية مساحة 87 م2 في محافظة اربد منطقة البارحة تنظيم سكني ج_x000D_
</t>
  </si>
  <si>
    <t>AQ-RE-100668</t>
  </si>
  <si>
    <t>المواجه (14)</t>
  </si>
  <si>
    <t>110</t>
  </si>
  <si>
    <t xml:space="preserve">شقة طابق تسوية مساحة 110 م2 في محافظة اربد منطقة البارحة تنظيم سكني د_x000D_
</t>
  </si>
  <si>
    <t>AQ-RE-100977</t>
  </si>
  <si>
    <t>بيت راس (183)</t>
  </si>
  <si>
    <t>الضمري (4)</t>
  </si>
  <si>
    <t>بيت راس</t>
  </si>
  <si>
    <t>2</t>
  </si>
  <si>
    <t>71</t>
  </si>
  <si>
    <t xml:space="preserve">شقة طابق ثاني مع سطح في محافظة اربد التنظيم سكني ب بمساحة 71 م2_x000D_
</t>
  </si>
  <si>
    <t>AQ-RE-100380</t>
  </si>
  <si>
    <t>اراضي الطيبه (16)</t>
  </si>
  <si>
    <t>الطيبة (333)</t>
  </si>
  <si>
    <t>البلد (60)</t>
  </si>
  <si>
    <t>لواء الطيبة</t>
  </si>
  <si>
    <t>126</t>
  </si>
  <si>
    <t>شقة طابق اول في محافظة اربد منطقة لواء الطيبة التنظيم سكني ج بمساحة 126 م2</t>
  </si>
  <si>
    <t>AQ-RE-100865</t>
  </si>
  <si>
    <t>البلد (5)</t>
  </si>
  <si>
    <t>87</t>
  </si>
  <si>
    <t xml:space="preserve">شقة طابق ثاني مساحة 87 م2 في محافظة اربد منطقة بيت راس تنظيم سكني د_x000D_
</t>
  </si>
  <si>
    <t>AQ-RE-101180</t>
  </si>
  <si>
    <t>اراضي الشونة الشمالية (14)</t>
  </si>
  <si>
    <t>المشارع (752)</t>
  </si>
  <si>
    <t>البلد الشمالي (5)</t>
  </si>
  <si>
    <t>المشارع</t>
  </si>
  <si>
    <t>190</t>
  </si>
  <si>
    <t xml:space="preserve">شقة تسوية في محافظة اربد منطقة المشارع التنظيم سكني ضمن تجاري بمساحة 190 م2_x000D_
</t>
  </si>
  <si>
    <t>AQ-RE-100399</t>
  </si>
  <si>
    <t>سوم (196)</t>
  </si>
  <si>
    <t>دبيس (9)</t>
  </si>
  <si>
    <t>سوم</t>
  </si>
  <si>
    <t>130</t>
  </si>
  <si>
    <t>شقة في محافظة اربد منطقة سوم التنظيم سكني ب بمساحة 130 م2</t>
  </si>
  <si>
    <t>AQ-RE-100984</t>
  </si>
  <si>
    <t>كعبير (19)</t>
  </si>
  <si>
    <t>حي التركمان</t>
  </si>
  <si>
    <t>109</t>
  </si>
  <si>
    <t>شقة في محافظة اربد منطقة حي التركمان التنظيم سكني د  بمساحة 109 م2</t>
  </si>
  <si>
    <t>AQ-RE-100522</t>
  </si>
  <si>
    <t>مخربا (337)</t>
  </si>
  <si>
    <t>جدار البلد (14)</t>
  </si>
  <si>
    <t>مخربا</t>
  </si>
  <si>
    <t>120.000</t>
  </si>
  <si>
    <t xml:space="preserve">شقة طابق اول مساحة 120 م2 في محافظة اربد منطقة مخربا تنظيم سكني د_x000D_
</t>
  </si>
  <si>
    <t>AQ-RE-100743</t>
  </si>
  <si>
    <t>ايدون (173)</t>
  </si>
  <si>
    <t>البلد (36)</t>
  </si>
  <si>
    <t>ايدون</t>
  </si>
  <si>
    <t>107</t>
  </si>
  <si>
    <t xml:space="preserve">شقة طابق ثاني مساحة 107 م2 في محافظة اربد منطقة ايدون تنظيم سكني د_x000D_
</t>
  </si>
  <si>
    <t>AQ-RE-100062</t>
  </si>
  <si>
    <t>قميم (202)</t>
  </si>
  <si>
    <t>البلد (3)</t>
  </si>
  <si>
    <t>قميم</t>
  </si>
  <si>
    <t>158</t>
  </si>
  <si>
    <t xml:space="preserve">شقة طابق ارضي مساحة 158 م2 في محافظة اربد منطقة قميم تنظيم سكني شعبي_x000D_
</t>
  </si>
  <si>
    <t>AQ-RE-100091</t>
  </si>
  <si>
    <t>اراضي بني كنانة (15)</t>
  </si>
  <si>
    <t>كفرسوم (330)</t>
  </si>
  <si>
    <t>البلد (21)</t>
  </si>
  <si>
    <t>كفر سوم</t>
  </si>
  <si>
    <t>122</t>
  </si>
  <si>
    <t xml:space="preserve">شقة طابق اول مساحة 122 م2 في محافظة اربد منطقة كفرسوم تنظيم سكني د_x000D_
</t>
  </si>
  <si>
    <t>AQ-RE-100863</t>
  </si>
  <si>
    <t>115</t>
  </si>
  <si>
    <t xml:space="preserve">شقة طابق اول مساحة 115 م2 في محافظة اربد منطقة بيت راس تنظيم سكني د_x000D_
</t>
  </si>
  <si>
    <t>AQ-RE-100915</t>
  </si>
  <si>
    <t>القصيله (17)</t>
  </si>
  <si>
    <t>حي القصيلة</t>
  </si>
  <si>
    <t>139</t>
  </si>
  <si>
    <t xml:space="preserve">شقة طابق ثالث مساحة 139 م2 في محافظة اربد منطقة حي القصيلة تنظيم سكني ج_x000D_
</t>
  </si>
  <si>
    <t>AQ-RE-100862</t>
  </si>
  <si>
    <t>138.20</t>
  </si>
  <si>
    <t xml:space="preserve">شقة طابق اول مساحة 138.20 م2 في محافظة اربد منطقة بيت راس تنظيم سكني د_x000D_
</t>
  </si>
  <si>
    <t>AQ-RE-100795</t>
  </si>
  <si>
    <t>كفر يوبا (209)</t>
  </si>
  <si>
    <t>برد الماظ الجنوبي (3)</t>
  </si>
  <si>
    <t>كفر يوبا</t>
  </si>
  <si>
    <t xml:space="preserve">شقة طابق ارضي مساحة 115 م2 في محافظة اربد منطقة كفر يوبا تنظيم سكني ج_x000D_
</t>
  </si>
  <si>
    <t>AQ-RE-100002</t>
  </si>
  <si>
    <t>حنينه (1)</t>
  </si>
  <si>
    <t>125</t>
  </si>
  <si>
    <t>شقة طابق ثاني مساحة 125 م2 في محافظة اربد منطقة البارحة تنظيم سكني ج</t>
  </si>
  <si>
    <t>AQ-RE-100864</t>
  </si>
  <si>
    <t xml:space="preserve">شقة طابق ثاني مساحة 115 م2 في محافظة اربد منطقة بيت راس تنظيم سكني د_x000D_
</t>
  </si>
  <si>
    <t>AQ-RE-100069</t>
  </si>
  <si>
    <t>الدوار (28)</t>
  </si>
  <si>
    <t>الرابية</t>
  </si>
  <si>
    <t>86</t>
  </si>
  <si>
    <t xml:space="preserve">شقة طابق ثالث مساحة 86 م2 في محافظة اربد منطقة الرابية تنظيم سكني ج_x000D_
</t>
  </si>
  <si>
    <t>AQ-RE-100978</t>
  </si>
  <si>
    <t>ناطفه (211)</t>
  </si>
  <si>
    <t>حقل الزبل (1)</t>
  </si>
  <si>
    <t>150</t>
  </si>
  <si>
    <t>شقة طابق تسوية في محافظة اربد منطقة الرابية التنظيم سكني ب بمساحة 150 م2</t>
  </si>
  <si>
    <t>AQ-RE-100479</t>
  </si>
  <si>
    <t>الشيخ خليل (14)</t>
  </si>
  <si>
    <t>مجمع الشيخ خليل</t>
  </si>
  <si>
    <t>137</t>
  </si>
  <si>
    <t xml:space="preserve">شقة طابق ثالث مساحة 137 م2 في محافظة اربد منطقة مجمع الشيخ خليل تنظيم سكني ب_x000D_
</t>
  </si>
  <si>
    <t>AQ-RE-100669</t>
  </si>
  <si>
    <t>ناطفه</t>
  </si>
  <si>
    <t xml:space="preserve"> شقة طابق ثالث في محافظة اربد - ناطفة - تنظيمها سكن ب - مساحتها 150 م2 -  قرب مسجد فاضل الدباس_x000D_
</t>
  </si>
  <si>
    <t>AQ-RE-100979</t>
  </si>
  <si>
    <t>المسبغانية الشمالية (7)</t>
  </si>
  <si>
    <t>الروضة</t>
  </si>
  <si>
    <t>شقة طابق ارضي في محافظة اربد منطقة الروضة التنظيم سكني ب بمساحة 115 م2</t>
  </si>
  <si>
    <t>AQ-RE-101120</t>
  </si>
  <si>
    <t>129</t>
  </si>
  <si>
    <t xml:space="preserve">شقة طابق ثالث في محافظة اربد التنظيم سكني تجاري بمساحة 129 م2_x000D_
</t>
  </si>
  <si>
    <t>AQ-RE-100313</t>
  </si>
  <si>
    <t>قروق الغربي (13)</t>
  </si>
  <si>
    <t>172</t>
  </si>
  <si>
    <t xml:space="preserve">شقة طابق تسوية مساحة 172 م2 في محافظة اربد منطقة الروضة تنظيم سكني ب_x000D_
</t>
  </si>
  <si>
    <t>AQ-RE-100365</t>
  </si>
  <si>
    <t>اراضي الرمثا (12)</t>
  </si>
  <si>
    <t>الطرة (265)</t>
  </si>
  <si>
    <t>سهام البيادر (22)</t>
  </si>
  <si>
    <t>الطرة</t>
  </si>
  <si>
    <t>196</t>
  </si>
  <si>
    <t xml:space="preserve">شقة طابق اول مساحة 196 م2 في محافظة اربد منطقة الطرة  تنظيم سكني ب_x000D_
</t>
  </si>
  <si>
    <t>AQ-RE-100107</t>
  </si>
  <si>
    <t>البقعة (6)</t>
  </si>
  <si>
    <t>الحي الشرقي</t>
  </si>
  <si>
    <t>140</t>
  </si>
  <si>
    <t xml:space="preserve"> شقة تسوية في محافظة اربد - الحي الشرقي - تنظيمها سكن ج - مساحتها 140 م2 -  قرب حديقة تونس_x000D_
</t>
  </si>
  <si>
    <t>AQ-RE-101165</t>
  </si>
  <si>
    <t>اربد مول</t>
  </si>
  <si>
    <t xml:space="preserve">شقة جنوبية طابق اول بناية جنوبية في محافظة اربد التنظيم سكني تجاري طولي بمساحة 139 م2_x000D_
</t>
  </si>
  <si>
    <t>AQ-RE-100457</t>
  </si>
  <si>
    <t>شارع الثلاثين</t>
  </si>
  <si>
    <t>4</t>
  </si>
  <si>
    <t>167.000</t>
  </si>
  <si>
    <t xml:space="preserve">شقة طابق رابع مساحة 167 م2 في محافظة اربد منطقة شارع الثلاثين تنظيم سكني ب_x000D_
</t>
  </si>
  <si>
    <t>AQ-RE-101125</t>
  </si>
  <si>
    <t>سمر (309)</t>
  </si>
  <si>
    <t>البلد (11)</t>
  </si>
  <si>
    <t>431</t>
  </si>
  <si>
    <t xml:space="preserve">عقار سكني يقع في محافظة اربد منطقة سمر التنظيم السكني شعبي مساحة القطعة 431 م2_x000D_
</t>
  </si>
  <si>
    <t>AQ-RE-101221</t>
  </si>
  <si>
    <t>غابة جرن الغزال (24)</t>
  </si>
  <si>
    <t>145</t>
  </si>
  <si>
    <t>الشقة الغربية الطابق الثالث عدا السطح تنظيم سكن ب مساحتها 145 متر مربع</t>
  </si>
  <si>
    <t>AQ-RE-100220</t>
  </si>
  <si>
    <t>161</t>
  </si>
  <si>
    <t xml:space="preserve">شقة طابق ثالث مساحة 161 م2 في محافظة اربد منطقة الروضة تنظيم سكني ب_x000D_
</t>
  </si>
  <si>
    <t>AQ-RE-100306</t>
  </si>
  <si>
    <t>زبدة فركوح (193)</t>
  </si>
  <si>
    <t>عبادة (12)</t>
  </si>
  <si>
    <t>203</t>
  </si>
  <si>
    <t xml:space="preserve">شقة طابق ثاني مساحة 203 م2 في محافظة اربد منطقة الرابية تنظيم سكني د_x000D_
</t>
  </si>
  <si>
    <t>AQ-RE-100032</t>
  </si>
  <si>
    <t>163</t>
  </si>
  <si>
    <t xml:space="preserve">شقة طابق ثاني مساحة 163 م2 في محافظة اربد منطقة الحي الشرقي تنظيم سكني ب_x000D_
</t>
  </si>
  <si>
    <t>AQ-RE-101152</t>
  </si>
  <si>
    <t xml:space="preserve">شقة شرقية طابق الثاني عدا سطحها  في محافظة اربد التنظيم سكني ب بمساحة 150 م2_x000D_
</t>
  </si>
  <si>
    <t>AQ-RE-100296</t>
  </si>
  <si>
    <t>الطوال (21)</t>
  </si>
  <si>
    <t>شارع الجامعة</t>
  </si>
  <si>
    <t xml:space="preserve">شقة طابق ثالث في محافظة اربد - منطقة النزهة - تنظيمها سكن أ  - مساحتها 158 م2 - شرق جامعة اليرموك - خلف نادي المعلمين </t>
  </si>
  <si>
    <t>AQ-RE-100803</t>
  </si>
  <si>
    <t>كريزم (5)</t>
  </si>
  <si>
    <t>159</t>
  </si>
  <si>
    <t xml:space="preserve">شقة طابق اول مساحة 159 م2 في محافظة اربد منطقة ايدون - دوار صحارى تنظيم سكني ب_x000D_
</t>
  </si>
  <si>
    <t>AQ-RE-100015</t>
  </si>
  <si>
    <t>الصبيح (10)</t>
  </si>
  <si>
    <t>175</t>
  </si>
  <si>
    <t xml:space="preserve">شقة طابق ثالث مساحة 175 م2 في محافظة اربد منطقة الحي الشرقي تنظيم سكني أ_x000D_
</t>
  </si>
  <si>
    <t>AQ-RE-101171</t>
  </si>
  <si>
    <t>الهداف التحتاني (13)</t>
  </si>
  <si>
    <t xml:space="preserve">الشقة الشرقية من الطابق التسوية عدا سطحها تنظيم سكن ب مساحتها 110 متر </t>
  </si>
  <si>
    <t>AQ-RE-101140</t>
  </si>
  <si>
    <t>167</t>
  </si>
  <si>
    <t xml:space="preserve">شقة طابق ثالث في محافظة اربد منطقة ايدون التنظيم سكني ب بمساحة 167 م2_x000D_
</t>
  </si>
  <si>
    <t>AQ-RE-100341</t>
  </si>
  <si>
    <t>السياف (1)</t>
  </si>
  <si>
    <t xml:space="preserve">شقة طابق ثالث مساحة 150 م2 في محافظة اربد منطقة الروضة تنظيم سكني ب_x000D_
</t>
  </si>
  <si>
    <t>AQ-RE-100295</t>
  </si>
  <si>
    <t>الحصن (175)</t>
  </si>
  <si>
    <t>سعوه و السرج (5)</t>
  </si>
  <si>
    <t>الحصن</t>
  </si>
  <si>
    <t>شقة طابق تسوية في محافظة اربد - منطقة الحصن - تنظيمها سكن باحكام خاصة - مساحتها 150 م2 -  بجانب سوبر ماركت أبو جواد العبابنة</t>
  </si>
  <si>
    <t>AQ-RE-100848</t>
  </si>
  <si>
    <t>الوقف (28)</t>
  </si>
  <si>
    <t>201</t>
  </si>
  <si>
    <t xml:space="preserve">شقة طابق اول مساحة 201 م2 في محافظة اربد منطقة ايدون تنظيم سكني أ_x000D_
</t>
  </si>
  <si>
    <t>AQ-RE-100661</t>
  </si>
  <si>
    <t>النزهة</t>
  </si>
  <si>
    <t>165</t>
  </si>
  <si>
    <t xml:space="preserve"> شقة طابق ثالث في محافظة اربد - منطقة النزهة - تنظيمها سكن أ - مساحتها 165 م2 -  قرب مجمع عمان الجديد - جنوب قصر عدل اربد - قرب سوبر ماركت MK_x000D_
</t>
  </si>
  <si>
    <t>AQ-RE-100001</t>
  </si>
  <si>
    <t>193</t>
  </si>
  <si>
    <t xml:space="preserve">شقة طابق ارضي مساحة 193 م2 في محافظة اربد منطقة الحي الشرقي تنظيم سكني ب_x000D_
</t>
  </si>
  <si>
    <t>AQ-RE-100859</t>
  </si>
  <si>
    <t>المعترض (8)</t>
  </si>
  <si>
    <t>270</t>
  </si>
  <si>
    <t xml:space="preserve"> شقة دوبلكس في محافظة اربد - الرابية - تنظيمها سكن ب - مساحتها الاجمالية 270 م2 (135 متر كل طابق)-  شارع الهمى - بناية الجبال_x000D_
</t>
  </si>
  <si>
    <t>AQ-RE-101241</t>
  </si>
  <si>
    <t>الفحص (2)</t>
  </si>
  <si>
    <t>358</t>
  </si>
  <si>
    <t>شقة دوبلكس، تنظيم سكن أ، تتكون من طابقين، طابق أرضي بمساحة 230 متر ، وطابق تسوية بمساحة 128 متر، تبلغ اجمالي المساحة 358 متر مربع، لدى الشقة مدخل خاص ومستقل، وتراس ضمن الطابق الارضي بمساحة 140 متر مربع، بالقرب من صالة الاندلس</t>
  </si>
  <si>
    <t>AQ-RE-100878</t>
  </si>
  <si>
    <t>AQ-RE-100474</t>
  </si>
  <si>
    <t>المردمه الجنوبية (5)</t>
  </si>
  <si>
    <t>دوار سال</t>
  </si>
  <si>
    <t>103</t>
  </si>
  <si>
    <t>AQ-RE-101345</t>
  </si>
  <si>
    <t>235</t>
  </si>
  <si>
    <t>AQ-RE-100265</t>
  </si>
  <si>
    <t>البقعة الغربية (7)</t>
  </si>
  <si>
    <t>143</t>
  </si>
  <si>
    <t>AQ-RE-101361</t>
  </si>
  <si>
    <t>174</t>
  </si>
  <si>
    <t>AQ-RE-101238</t>
  </si>
  <si>
    <t>اتساسيه (3)</t>
  </si>
  <si>
    <t>100</t>
  </si>
  <si>
    <t>AQ-RE-101248</t>
  </si>
  <si>
    <t>البلد</t>
  </si>
  <si>
    <t>AQ-RE-101382</t>
  </si>
  <si>
    <t>70</t>
  </si>
  <si>
    <t>AQ-RE-101164</t>
  </si>
  <si>
    <t>طبول كوتيه (17)</t>
  </si>
  <si>
    <t>AQ-RE-100343</t>
  </si>
  <si>
    <t>المطارق (2)</t>
  </si>
  <si>
    <t>فوعرا</t>
  </si>
  <si>
    <t>123</t>
  </si>
  <si>
    <t>AQ-RE-100679</t>
  </si>
  <si>
    <t>121</t>
  </si>
  <si>
    <t>AQ-BLD-100256</t>
  </si>
  <si>
    <t>مباني</t>
  </si>
  <si>
    <t>عقار تجاري</t>
  </si>
  <si>
    <t>الشيخ حسين (751)</t>
  </si>
  <si>
    <t>القليعات (4)</t>
  </si>
  <si>
    <t>الشيخ حسين</t>
  </si>
  <si>
    <t>335</t>
  </si>
  <si>
    <t>عقار تجاري مكون من طابقين ارضي وأول مقام على ارض مساحتها 335 م2 في محافظة اربد - الشونة الشمالية منطقة الشيخ حسين تنظيم تجاري محلي سكن ب وعبارة عن مخازن تجارية عدد 5 إضافة الى 3 شقق بمساحات مختلفة ويقع قرب نادي الشيخ حسين الرياضي و مسجد القليعات</t>
  </si>
  <si>
    <t>AQ-BLD-100639</t>
  </si>
  <si>
    <t>الرمثا (261)</t>
  </si>
  <si>
    <t>المصقرة (39)</t>
  </si>
  <si>
    <t>الرمثا</t>
  </si>
  <si>
    <t>1036</t>
  </si>
  <si>
    <t>عقار تجاري في محافظة اربد منطقة الرمثا التنظيم تجاري  عادي سكن ب مساحة الأرض 1036 مساحة البناء الاجمالية 860 م2</t>
  </si>
  <si>
    <t>AQ-BLD-100349</t>
  </si>
  <si>
    <t>المعلقة (8)</t>
  </si>
  <si>
    <t>المدينة الصناعية</t>
  </si>
  <si>
    <t>987</t>
  </si>
  <si>
    <t>عقار تجاري مكون من 5 طوابق مقام على ارض مساحتها 987 م2 في محافظة اربد - البارحة تنظيم تجاري طولي وعبارة عن مخازن تجارية عدد 5 ومستودعات تخزين إضافة الى 6 شقق بمساحات مختلفة ويقع شرق اشارة حنينا - مقابل محطة جوبترول للمحروقات</t>
  </si>
  <si>
    <t>AQ-BLD-100142</t>
  </si>
  <si>
    <t>عقار سكني</t>
  </si>
  <si>
    <t>ابدر (310)</t>
  </si>
  <si>
    <t>قرية حاتم</t>
  </si>
  <si>
    <t>521.64</t>
  </si>
  <si>
    <t xml:space="preserve">مساحة الأرض: 521.640 م2_x000D_
مساحة العقار الاجمالية : 90 م2_x000D_
عدد الطوابق : 1_x000D_
التنظيم : سكن ج_x000D_
الطابق الأرضي : مكون من غرفتين + مطبخ + حمام_x000D_
الموقع: اربد - قرية ابدر - قرب مسجد إبدر الكبير (زيد بن حارثه)_x000D_
</t>
  </si>
  <si>
    <t>AQ-BLD-100317</t>
  </si>
  <si>
    <t>293</t>
  </si>
  <si>
    <t>"عقار سكني في الشونة الشمالية - الشيخ حسين تنظيمه سكن ج_x000D_
مساحة الأرض 293 م2 ومساحة العقار الاجمالية 138 م2 _x000D_
مؤلف من طابق واحد مساحة 138 م2_x000D_
_x000D_
اربد -الشونة الشمالية - شارع الاغوار الرئيسي - قرب مسجد عمر بن الخطاب"</t>
  </si>
  <si>
    <t>AQ-BLD-100883</t>
  </si>
  <si>
    <t>الخراج (176)</t>
  </si>
  <si>
    <t>صما</t>
  </si>
  <si>
    <t>" شقة طابق أول في مدينة اربد - صما - تنظيمها سكن ب - مساحتها 120 م2 _x000D_
قرب مسجد الخراج"</t>
  </si>
  <si>
    <t>AQ-BLD-100773</t>
  </si>
  <si>
    <t>زمال (279)</t>
  </si>
  <si>
    <t>492</t>
  </si>
  <si>
    <t>"عقار سكني في اربد -ازمال تنظيمه سكن د_x000D_
مساحة الأرض 492 م2 ومساحة العقار الاجمالية 106 م2 _x000D_
مؤلف من طابق واحد مساحة 106 م2_x000D_
_x000D_
اربد - ازمال قرب مسجد براء بن عازب"</t>
  </si>
  <si>
    <t>AQ-BLD-100336</t>
  </si>
  <si>
    <t>ابو سيدو (771)</t>
  </si>
  <si>
    <t>البلد (1)</t>
  </si>
  <si>
    <t>الشونة الشمالية</t>
  </si>
  <si>
    <t>240</t>
  </si>
  <si>
    <t>"عقار سكني في الشونة الشمالية  تظيمه سكن ج_x000D_
مساحة الأرض 240 م2 ومساحة العقار الاجمالية 176 م2 _x000D_
مؤلف من طابقين ( أرضي + اول) _x000D_
مساحة كل طابق 88 متر _x000D_
يوجد سور مبني على الواجهة الشرقية والجنوبية + بعض اشجار الليمون والنخيل_x000D_
_x000D_
اربد -  الشونة الشمالية - ابو سيدو - قرب شارع الغور الاردني"</t>
  </si>
  <si>
    <t>AQ-BLD-100715</t>
  </si>
  <si>
    <t>حكما (188)</t>
  </si>
  <si>
    <t>حكما</t>
  </si>
  <si>
    <t>299.94</t>
  </si>
  <si>
    <t>"عقار سكني في اربد - حكما  تظيمه تجاري_x000D_
مساحة الأرض 299.94 م2 ومساحة العقار الاجمالية 160 م2 _x000D_
مؤلف من طابق أرضي  يوجد بعض أشجار الزيتون على قطعة الارض وساحات خارجية_x000D_
حكما - وسط البلد - قرب مركز التدريب المهني"</t>
  </si>
  <si>
    <t>AQ-BLD-100631</t>
  </si>
  <si>
    <t>الرفيد (313)</t>
  </si>
  <si>
    <t>البرنس (26)</t>
  </si>
  <si>
    <t>أخرى</t>
  </si>
  <si>
    <t>1046</t>
  </si>
  <si>
    <t>"عقار سكني في اربد الرفيد تنظيمه سكن ب_x000D_
مساحة الأرض 1046 م2 ومساحة العقار الاجمالية 110 م2 _x000D_
مؤلف من طابق واحد مساحة 106 م2_x000D_
_x000D_
اربد -بني كنانة - قرب مدرسة الرفيد"</t>
  </si>
  <si>
    <t>AQ-BLD-100805</t>
  </si>
  <si>
    <t>كفر اسد (205)</t>
  </si>
  <si>
    <t>الديارات (24)</t>
  </si>
  <si>
    <t>كفر أسد</t>
  </si>
  <si>
    <t>عقار سكني في اربد - كفر أسد  تظيمه سكن ج_x000D_
مساحة الأرض 492 م2 ومساحة العقار الاجمالية 270 م2 _x000D_
مؤلف من طابقين (عظم غير مشطب ) مقام منذ عام 2016_x000D_
اربد - كفر أسد قرب ديوان العمري ومطل على وادي دوقرا</t>
  </si>
  <si>
    <t>AQ-BLD-100334</t>
  </si>
  <si>
    <t>البلد (12)</t>
  </si>
  <si>
    <t>231</t>
  </si>
  <si>
    <t>عقار سكني في محافظة اربد منطقة الحصن التنظيم سكني ج مساحة الأرض 231 مساحة البناء الاجمالية 295 م2</t>
  </si>
  <si>
    <t>AQ-BLD-100714</t>
  </si>
  <si>
    <t>835.94</t>
  </si>
  <si>
    <t>"عقار سكني في اربد -حكما تنظيمه سكن د_x000D_
مساحة الأرض 835 م2 ومساحة العقار الاجمالية 298 م2 _x000D_
مؤلف من 2 طوابق ( تسوية + ارضي )_x000D_
_x000D_
اربد - حكما قرب مركز التدريب المهني"</t>
  </si>
  <si>
    <t>AQ-BLD-101159</t>
  </si>
  <si>
    <t>حي المنارة</t>
  </si>
  <si>
    <t>164</t>
  </si>
  <si>
    <t xml:space="preserve">عقار سكني في محافظة اربد منطقة القصيلة التنظيم سكني ب مساحة الأرض 164 مساحة البناء الاجمالية 285 م2_x000D_
</t>
  </si>
  <si>
    <t>AQ-BLD-100165</t>
  </si>
  <si>
    <t>النعيمه (180)</t>
  </si>
  <si>
    <t>البلد (27)</t>
  </si>
  <si>
    <t>النعيمة</t>
  </si>
  <si>
    <t>617</t>
  </si>
  <si>
    <t>"عقار سكني في اربد - النعيمة  تظيمه سكن ج  _x000D_
مساحة الأرض 617 م2 ومساحة العقار الاجمالية 371 م2 _x000D_
مؤلف من 3 طوابق ( تسوية + ارضي + اول ) كل طابق عبارة عن شقة  سكنية يحيط بالقطعة سور بارتفاعات متفاوتة ويوجد ساحات مبلطة بلاط اسمنتي _x000D_
النعيمة - قرب مسجد جبر البركات وبجانب مسجد قاسم خصاونة"</t>
  </si>
  <si>
    <t>AQ-BLD-100338</t>
  </si>
  <si>
    <t>214</t>
  </si>
  <si>
    <t>عقار سكني في اربد - البارحة  تظيمه سكن د  خاص _x000D_
مساحة الأرض 214 م2 ومساحة العقار الاجمالية 600 م2 _x000D_
مؤلف من 3 طوابق ( ارضي + اول + ثاني ) كل طابق مساحة 200 م2 عبارة عن شقتين_x000D_
اربد - قرب مستشفى الاميرة  بسمة"</t>
  </si>
  <si>
    <t>AQ-BLD-100885</t>
  </si>
  <si>
    <t>366</t>
  </si>
  <si>
    <t>عقار سكني في اربد - كفر أسد  تظيمه سكن د_x000D_
مساحة الأرض 366 م2 ومساحة العقار الاجمالية 480 م2 _x000D_
مؤلف من 3 طوابق ( تسوية + أرضي + اول)_x000D_
_x000D_
اربد - كفرأسد قرب مدرسة بنات كفرأسد</t>
  </si>
  <si>
    <t>AQ-BLD-100533</t>
  </si>
  <si>
    <t>المعترض الغربي (16)</t>
  </si>
  <si>
    <t>355</t>
  </si>
  <si>
    <t>"عقار سكني في اربد - المنارة  تظيمه سكن ب  _x000D_
مساحة الأرض 355 م2 ومساحة العقار الاجمالية 292 م2 _x000D_
مؤلف من 2 طوابق ( ارضي + اول ) كل طابق عبارة عن شقة  سكنية كما يتوفر طابق ثاني عبارة عن غرفة غسيل مساحة 21 م2 يوجد بالمساحات الخارجية خزان ماء من الخرسانة وبعض الاشجار المثمرة + محاطة بالأسوار_x000D_
اربد - قرب محطة الأثير للمحروقات"</t>
  </si>
  <si>
    <t>AQ-BLD-100722</t>
  </si>
  <si>
    <t>البلد (23)</t>
  </si>
  <si>
    <t>1283</t>
  </si>
  <si>
    <t>عقار سكني في محافظة اربد منطقة الطرة التنظيم تجاري محلي سكن د مساحة الأرض 1283 مساحة البناء الاجمالية 140 م2</t>
  </si>
  <si>
    <t>AQ-BLD-100592</t>
  </si>
  <si>
    <t>الاشرفية (270)</t>
  </si>
  <si>
    <t>الأشرفية</t>
  </si>
  <si>
    <t>844</t>
  </si>
  <si>
    <t xml:space="preserve">عقار سكني يقع بالجهة الشمالية الشرقية من الاشرفية التنظيم سكني ج مساحة القطعة 844 م2 مساحة البناء الاجمالية 643 م2_x000D_
</t>
  </si>
  <si>
    <t>AQ-BLD-100339</t>
  </si>
  <si>
    <t>ام الدفاتر (24)</t>
  </si>
  <si>
    <t>بشرى</t>
  </si>
  <si>
    <t>1373</t>
  </si>
  <si>
    <t>عقار سكني في محافظة اربد مدينة الرمثا التنظيم سكني ب مساحة الأرض 1373 مساحة البناء الاجمالية 580 م2</t>
  </si>
  <si>
    <t>AQ-BLD-100337</t>
  </si>
  <si>
    <t>819</t>
  </si>
  <si>
    <t>عقار سكني في محافظة اربد منطقة الحصن التنظيم سكني ب مساحة الأرض 819 مساحة البناء الاجمالية 340 م2</t>
  </si>
  <si>
    <t>AQ-BLD-100376</t>
  </si>
  <si>
    <t>ملكا (331)</t>
  </si>
  <si>
    <t>دار الباشا (81)</t>
  </si>
  <si>
    <t>ملكا</t>
  </si>
  <si>
    <t>3171</t>
  </si>
  <si>
    <t>عقار سكني مؤلف من أبنية عدد (2) ،البناء الاول مؤلف من طابقين طابق تسوية بمساحة 208 متر مربع وطابق أرضي بمساحة 208 متر مربع، البناء الثاني مؤلف من طابقين، طابق تسوية بمساحة 51 متر مربع والطابق الارضي بمساحة 165 متر مربع، تنظيم سكن د، مساحة القطعة 3171 متر مربع بالقرب من مركز زها الثقافي.</t>
  </si>
  <si>
    <t>AQ-BLD-100767</t>
  </si>
  <si>
    <t>464</t>
  </si>
  <si>
    <t>"عقار سكني في اربد -  تظيمه سكن د  مساحة الأرض 464 م2 ومساحة العقار الاجمالية 699 م2 _x000D_
مؤلف من 3 طوابق ( ارضي + اول + ثاني ) كل طابق عبارة عن شقة  طابقية_x000D_
اربد - قرب دوار سال الكبير"</t>
  </si>
  <si>
    <t>AQ-BLD-100748</t>
  </si>
  <si>
    <t>340</t>
  </si>
  <si>
    <t>عقار سكني في محافظة اربد - منطقة النزهة - ومؤلف من 3 طوابق (تسوية + ارضي + اول) - تنظيمه سكن ج - مساحة الأرض 340 م2 ومساحة البناء الاجمالية 535 م2 - يقع في اربد - قرب قصر العدل</t>
  </si>
  <si>
    <t>AQ-BLD-101211</t>
  </si>
  <si>
    <t>اراضي المزار الشمالي (18)</t>
  </si>
  <si>
    <t>حبكا (343)</t>
  </si>
  <si>
    <t>البرنس (3)</t>
  </si>
  <si>
    <t>حبكا</t>
  </si>
  <si>
    <t>980</t>
  </si>
  <si>
    <t xml:space="preserve">عقار سكني يقع في المزار الشمالي منطقة حبكا التنظيم السكني ب مساحة القطعة 980 م2_x000D_
</t>
  </si>
  <si>
    <t>AQ-BLD-101033</t>
  </si>
  <si>
    <t>الجلمة (38)</t>
  </si>
  <si>
    <t>1834</t>
  </si>
  <si>
    <t>"عقار سكني في الرمثا - تظيمه سكن أ_x000D_
مساحة الأرض 1834 م2 ومساحة العقار الاجمالية 527 م2 _x000D_
مؤلف من بنائين منفصلات _x000D_
يحيط بالقطعة سور واجهتين حجر وشيك لباقي الواجهات + اشجار زيتون بالجزء الجنوبي من الأرض_x000D_
الرمثا - جنوب مدرسة الأمة النموذجية"</t>
  </si>
  <si>
    <t>AQ-BLD-101228</t>
  </si>
  <si>
    <t>الفحص (10)</t>
  </si>
  <si>
    <t>709.280</t>
  </si>
  <si>
    <t>عقار سكني مؤلف من طابق تسوية بمساحة 181 متر مربع وطابق أرضي بمساحة 181 متر مربع وطابق أول بمساحة 165 متر مربع وطابق ثاني بمساحة 52 متر مربع، تنظيم سكن ب، بالقرب من ملعب زبدة</t>
  </si>
  <si>
    <t>AQ-BLD-100175</t>
  </si>
  <si>
    <t>دوار الدرة</t>
  </si>
  <si>
    <t>852</t>
  </si>
  <si>
    <t xml:space="preserve">عقار سكني في اربد - منطقة الروضة و مؤلف من 4 طوابق   مساحة الأرض 852 م2 ومساحة العقار الاجمالية 1159 م2 ويقع جنوب دوار محمد الدرة - بجانب مسجد الغفران </t>
  </si>
  <si>
    <t>AQ-BLD-100775</t>
  </si>
  <si>
    <t>نقع الزوايد  الجنوبي (34)</t>
  </si>
  <si>
    <t>5557</t>
  </si>
  <si>
    <t>عقار استثماري مكون من قاعات أفراح + شاليهات فندقية عظم +مسابح عدد (4) بمساحة 5557 متر مربع، أحكام التنظيم زراعي - خارج  التنظيم ، بالقرب من مسجد عمرو ابن الجموح</t>
  </si>
  <si>
    <t>AQ-BLD-100324</t>
  </si>
  <si>
    <t>جحفية (342)</t>
  </si>
  <si>
    <t>البلد (6)</t>
  </si>
  <si>
    <t>جحفية</t>
  </si>
  <si>
    <t>563.97</t>
  </si>
  <si>
    <t>AQ-BLD-101326</t>
  </si>
  <si>
    <t>تل الأربعين (5)</t>
  </si>
  <si>
    <t>576</t>
  </si>
  <si>
    <t>AQ-BLD-100437</t>
  </si>
  <si>
    <t>الكوخ (37)</t>
  </si>
  <si>
    <t>713</t>
  </si>
  <si>
    <t>AQ-BLD-100685</t>
  </si>
  <si>
    <t>دير يوسف (345)</t>
  </si>
  <si>
    <t>دير يوسف</t>
  </si>
  <si>
    <t>619.7</t>
  </si>
  <si>
    <t>AQ-BLD-101430</t>
  </si>
  <si>
    <t>قطعة فروخ (4)</t>
  </si>
  <si>
    <t>1212.950</t>
  </si>
  <si>
    <t>AQ-BLD-101186</t>
  </si>
  <si>
    <t>فلل</t>
  </si>
  <si>
    <t>1093</t>
  </si>
  <si>
    <t xml:space="preserve">فيلا تقع في الرمثا التنظيم السكني ج مساحة القطعة 1093 م2_x000D_
</t>
  </si>
  <si>
    <t>AQ-BLD-100188</t>
  </si>
  <si>
    <t>قروق الشرقي (12)</t>
  </si>
  <si>
    <t>661</t>
  </si>
  <si>
    <t>AQ-BLD-100172</t>
  </si>
  <si>
    <t>حواره (189)</t>
  </si>
  <si>
    <t>الرويسه (14)</t>
  </si>
  <si>
    <t>حوارة</t>
  </si>
  <si>
    <t>1668</t>
  </si>
  <si>
    <t>AQ-BLD-100151</t>
  </si>
  <si>
    <t>فلل ومزارع</t>
  </si>
  <si>
    <t>عصارة تلاع الكرك (4)</t>
  </si>
  <si>
    <t>12938</t>
  </si>
  <si>
    <t>فيلا ومزرعة في محافظة اربد منطقة النعيمة - شطنا تنظيمها زراعي مقامة على قطعة ارض مساحتها 12938 م2 و مؤلفة من عدة ابنية مساحتها الاجمالية 418 م2 - - بالقرب من حديقة ذوقان الهنداوي - على شارع النعيمة - شطنا</t>
  </si>
  <si>
    <t>AQ-LND-100109</t>
  </si>
  <si>
    <t>أراضي</t>
  </si>
  <si>
    <t>قطع اراضي</t>
  </si>
  <si>
    <t>المخيبه التحتا (315)</t>
  </si>
  <si>
    <t>المزرعه الشرقي (6)</t>
  </si>
  <si>
    <t>المخيبة التحتة</t>
  </si>
  <si>
    <t>417</t>
  </si>
  <si>
    <t>مساحة الأرض: 417 م2_x000D_
التنظيم: سكن د_x000D_
قطعة الارض من نوع ملك ومثلثة الشكل ويحدها شارع 10 م من الواجهة الغربية وشارع 6 م من الواجهة الشرقية وغير مفتوح وشارع 10 م من الواجهة الشمالية مفتوح ومعبد_x000D_
بيانات اضافية: يوجد على القطعة بعض من اشجار الزيتون_x000D_
الموقع: اربد - بلدية خالد بن الوليد - بالقرب مدرسة المخيبة التحت الثانوية للبنين - شارع البساتين</t>
  </si>
  <si>
    <t>AQ-LND-100245</t>
  </si>
  <si>
    <t>بيت يافا (184)</t>
  </si>
  <si>
    <t>حلان المسكين (6)</t>
  </si>
  <si>
    <t>بيت يافا</t>
  </si>
  <si>
    <t>903</t>
  </si>
  <si>
    <t>قطعة ارض سليخ من نوع ملك و مساحنها 903 م2 و منتظمة الشكل وخالية من الانشاءات والابنية وهي داخل التنظيم وتنظيمها سكن ج تقع ضمن حدود بلدية غرب اربد الكبرى - منطقة بيت يافا ويحدها شارع 10 متر على طول واجهتها الشرقية غير مفتوح وتميل ميلا خفيفا من الشمال الى الجنوب ومتوفر كافة الخدمات_x000D_
_x000D_
منطقة بيت يافا - شارع اربد الكورة - قرب مسجد خليل الرحمن</t>
  </si>
  <si>
    <t>AQ-LND-100246</t>
  </si>
  <si>
    <t>1419</t>
  </si>
  <si>
    <t>قطعة ارض سليخ من نوع ملك و مساحنها 1419 م2 و منتظمة الشكل وخالية من الانشاءات والابنية وهي داخل التنظيم وتنظيمها سكن ج تقع ضمن حدود بلدية غرب اربد الكبرى - منطقة بيت يافا ويحدها شارع 16 متر على ول واجهتها الشمالية قسم منه مفتوح ومعبد ومتوفر كافة الخدمات_x000D_
منطقة بيت يافا - شارع اربد الكورة - قرب مسجد خليل الرحمن</t>
  </si>
  <si>
    <t>AQ-LND-101061</t>
  </si>
  <si>
    <t>السريج (26)</t>
  </si>
  <si>
    <t>809.280</t>
  </si>
  <si>
    <t xml:space="preserve">قطعة ارض في محافظة اربد منطقة البلد التنظيم سكني ب مساحة الأرض 809.280 م2_x000D_
</t>
  </si>
  <si>
    <t>AQ-LND-101112</t>
  </si>
  <si>
    <t>2162</t>
  </si>
  <si>
    <t xml:space="preserve">قطعة ارض في محافظة اربد منطقة الرمثا التنظيم سكني ب بمساحة 2162 م2_x000D_
</t>
  </si>
  <si>
    <t>AQ-LND-100377</t>
  </si>
  <si>
    <t>صما (336)</t>
  </si>
  <si>
    <t>تبانا (27)</t>
  </si>
  <si>
    <t>18009</t>
  </si>
  <si>
    <t>محافظة اربد - اراضي الطيبة - قرية صما - حوض تبانا 27- مساحتها - 18009 م2 زراعي خارج التنظيم - شبه مستوية وخالية من الابنية والانشائات ومزروعة بأشجار الزيتون</t>
  </si>
  <si>
    <t>AQ-LND-100227</t>
  </si>
  <si>
    <t>دير ابي سعيد الغربي (278)</t>
  </si>
  <si>
    <t>بلوطه (12)</t>
  </si>
  <si>
    <t>5211</t>
  </si>
  <si>
    <t>محافظة اربد - اراضي دير ابي سعيد - قرية دير ابي سعيد الغربي - حوض بلوطة 12 - مساحتها - 5,211 م2 منتظمة الشكل ومنظمة سكن أ وتقع على شارعين</t>
  </si>
  <si>
    <t>AQ-LND-100225</t>
  </si>
  <si>
    <t>الرفيف (10)</t>
  </si>
  <si>
    <t>103453</t>
  </si>
  <si>
    <t xml:space="preserve">محافظة اربد - اراضي دير ابي سعيد - قرية دير ابي سعيد الغربي - حوض الرفيف 10 - مساحتها - 103,453 م2 خارج التنظيم مختلفة التضاريس والقطعة مطلة ومرتفعة_x000D_
</t>
  </si>
  <si>
    <t>AQ-LND-101377</t>
  </si>
  <si>
    <t>المزار (340)</t>
  </si>
  <si>
    <t>ام الرب (4)</t>
  </si>
  <si>
    <t>المزار الشمالي</t>
  </si>
  <si>
    <t>61904</t>
  </si>
  <si>
    <t>AQ-LND-100139</t>
  </si>
  <si>
    <t>قطعة الصلاة (19)</t>
  </si>
  <si>
    <t>2459</t>
  </si>
  <si>
    <t>AQ-LND-100244</t>
  </si>
  <si>
    <t>680</t>
  </si>
  <si>
    <t>AQ-LND-100294</t>
  </si>
  <si>
    <t>مزارع</t>
  </si>
  <si>
    <t>يبلا (332)</t>
  </si>
  <si>
    <t>صبوح (8)</t>
  </si>
  <si>
    <t>يبلا</t>
  </si>
  <si>
    <t>11507</t>
  </si>
  <si>
    <t>AQ-BLD-100268</t>
  </si>
  <si>
    <t>منزل مستقل</t>
  </si>
  <si>
    <t>بلد الباشا الجنوبي (80)</t>
  </si>
  <si>
    <t>613.930</t>
  </si>
  <si>
    <t>منزل مستقل مكون من طابق واحد - مساحة الأرض 613.930 م2 ومساحة البناء الاجمالية 610 م2 في محافظة اربد منطقة ملكا تنظيم سكني ج بالقرب من مسجد البلدة</t>
  </si>
  <si>
    <t>AQ-BLD-100143</t>
  </si>
  <si>
    <t>فوعره (200)</t>
  </si>
  <si>
    <t>جدار البلد (3)</t>
  </si>
  <si>
    <t>502</t>
  </si>
  <si>
    <t>منزل مستقل مكون من طابقين ارضي واول - مساحة الأرض 502 م2 ومساحة البناء الاجمالية 280 م2 في محافظة اربد منطقة فوعرا تنظيم سكني د بالقرب من مدرسة فوعرا للبنات</t>
  </si>
  <si>
    <t>AQ-BLD-100466</t>
  </si>
  <si>
    <t>هناجر</t>
  </si>
  <si>
    <t>جلهم (36)</t>
  </si>
  <si>
    <t>1774.000</t>
  </si>
  <si>
    <t>"أرض مقام عليها هنجر للبيع في الرمثا تنظيمها سكن ج _x000D_
مساحة الأرض 1774 م2_x000D_
مساحة الهنجر 178 م2 _x000D_
_x000D_
 الرمثا - قرب مسجد ابو عبيدة - بجانب مقبرة ليلى الإسلامية"</t>
  </si>
  <si>
    <t>AQ-RE-100655</t>
  </si>
  <si>
    <t>محافظة البلقاء</t>
  </si>
  <si>
    <t>اراضي السلط (22)</t>
  </si>
  <si>
    <t>السلط (392)</t>
  </si>
  <si>
    <t>البحيرة (43)</t>
  </si>
  <si>
    <t>السلالم</t>
  </si>
  <si>
    <t>102</t>
  </si>
  <si>
    <t xml:space="preserve"> شقة طابق تسوية في مدينة السلط - البحيرة - تنظيمها سكن أ - مساحتها 102 م2 مقابل مسجد انس بن مالك _x000D_
</t>
  </si>
  <si>
    <t>102.000</t>
  </si>
  <si>
    <t>AQ-RE-100660</t>
  </si>
  <si>
    <t>البقعان (42)</t>
  </si>
  <si>
    <t>البلقاء</t>
  </si>
  <si>
    <t>183</t>
  </si>
  <si>
    <t xml:space="preserve"> شقة طابق تسوية في مدينة السلط - إسكان المهندسين - تنظيمها سكن أ - مساحتها 183 م2 - قرب مدرسة قلعة السلط_x000D_
</t>
  </si>
  <si>
    <t>AQ-RE-100572</t>
  </si>
  <si>
    <t>-2</t>
  </si>
  <si>
    <t xml:space="preserve"> شقة طابق تسوية في مدينة السلط - البحيرة - تنظيمها سكن أ - مساحتها 169 م2 - قرب مديرية وزارة الاشغال العامة_x000D_
</t>
  </si>
  <si>
    <t>AQ-RE-100698</t>
  </si>
  <si>
    <t>226</t>
  </si>
  <si>
    <t xml:space="preserve"> شقة طابق تسوية في مدينة السلط - تنظيمها سكن أ - مساحتها 226 م2 - بجانب سوبر ماركت المدير_x000D_
</t>
  </si>
  <si>
    <t>AQ-RE-100105</t>
  </si>
  <si>
    <t>169</t>
  </si>
  <si>
    <t>AQ-RE-100347</t>
  </si>
  <si>
    <t>170</t>
  </si>
  <si>
    <t xml:space="preserve">شقة طابق تسوية مساحة 170 م2 في محافظة البلقاء البحيرة - السلط تنظيم سكني أ_x000D_
</t>
  </si>
  <si>
    <t>AQ-RE-100012</t>
  </si>
  <si>
    <t>208</t>
  </si>
  <si>
    <t xml:space="preserve"> شقة طابق ارضي في مدينة السلط - البحيرة - تنظيمها سكن أ - مساحتها 208 م2 - حي السلالم - شارع الروابي - مقابل مسجد انس بن مالك</t>
  </si>
  <si>
    <t>AQ-RE-100301</t>
  </si>
  <si>
    <t>اراضي الشونة الجنوبية (23)</t>
  </si>
  <si>
    <t>مزرعة سويمة (415)</t>
  </si>
  <si>
    <t>سويمة الشمالي (1)</t>
  </si>
  <si>
    <t>سويمة</t>
  </si>
  <si>
    <t>46.000</t>
  </si>
  <si>
    <t>AQ-RE-100391</t>
  </si>
  <si>
    <t>67.000</t>
  </si>
  <si>
    <t>AQ-RE-100367</t>
  </si>
  <si>
    <t>50.000</t>
  </si>
  <si>
    <t>AQ-RE-100390</t>
  </si>
  <si>
    <t>62.000</t>
  </si>
  <si>
    <t>AQ-RE-100394</t>
  </si>
  <si>
    <t>68.000</t>
  </si>
  <si>
    <t>AQ-RE-100363</t>
  </si>
  <si>
    <t>AQ-RE-100369</t>
  </si>
  <si>
    <t>57.000</t>
  </si>
  <si>
    <t>AQ-RE-100298</t>
  </si>
  <si>
    <t>43.000</t>
  </si>
  <si>
    <t>AQ-RE-100355</t>
  </si>
  <si>
    <t>48.000</t>
  </si>
  <si>
    <t>AQ-RE-100386</t>
  </si>
  <si>
    <t>AQ-RE-100656</t>
  </si>
  <si>
    <t>94.000</t>
  </si>
  <si>
    <t>AQ-RE-100392</t>
  </si>
  <si>
    <t>AQ-RE-100395</t>
  </si>
  <si>
    <t>AQ-RE-100389</t>
  </si>
  <si>
    <t>AQ-RE-100387</t>
  </si>
  <si>
    <t>61.000</t>
  </si>
  <si>
    <t>AQ-RE-100300</t>
  </si>
  <si>
    <t>AQ-RE-100393</t>
  </si>
  <si>
    <t>AQ-RE-100361</t>
  </si>
  <si>
    <t>AQ-RE-100388</t>
  </si>
  <si>
    <t>AQ-RE-100299</t>
  </si>
  <si>
    <t>AQ-RE-100356</t>
  </si>
  <si>
    <t>AQ-BLD-100488</t>
  </si>
  <si>
    <t>البلد (67)</t>
  </si>
  <si>
    <t>14.500</t>
  </si>
  <si>
    <t xml:space="preserve">عقار سكني في محافظة البلقاء منطقة البلقاء التنظيم سكني د مساحة الأرض 29.610 مساحة البناء الاجمالية 29.610 م2_x000D_
</t>
  </si>
  <si>
    <t>AQ-BLD-100329</t>
  </si>
  <si>
    <t>غور الكفرين (412)</t>
  </si>
  <si>
    <t>منسف ابو زيد (29)</t>
  </si>
  <si>
    <t>الشونه الجنوبيه</t>
  </si>
  <si>
    <t>284</t>
  </si>
  <si>
    <t xml:space="preserve">عقار سكني في محافظة البلقاء - الشونة الجنوبية تنظيم سكني د مكون من طابق واحد مقام على ارض مساحتها 284 م2 ومساحة البناء الاجمالية 100 م2 ويقع قرب مدرسة الروضة الأساسية المختلطة_x000D_
</t>
  </si>
  <si>
    <t>AQ-BLD-100152</t>
  </si>
  <si>
    <t>الكرامة (756)</t>
  </si>
  <si>
    <t>البلد الغربي (4)</t>
  </si>
  <si>
    <t>288</t>
  </si>
  <si>
    <t xml:space="preserve">عقار سكني في محافظة البلقاء - الشونة الجنوبية تنظيم سكني ج مكون من طابقين ارضي واول مقام على ارض مساحتها 288 م2 ومساحة البناء الاجمالية 231 م2 ويقع في الحي الغربي لقرية الكرامة وعلى بعد 450 متر من مسجد شهداء الكرامة_x000D_
</t>
  </si>
  <si>
    <t>AQ-BLD-101242</t>
  </si>
  <si>
    <t>غور نمرين (409)</t>
  </si>
  <si>
    <t>الهلالي (26)</t>
  </si>
  <si>
    <t>526</t>
  </si>
  <si>
    <t xml:space="preserve">عقار سكني في محافظة البلقاء منطقة البلقاء التنظيم سكني د مساحة الأرض 526 مساحة البناء الاجمالية 163 م2_x000D_
</t>
  </si>
  <si>
    <t>AQ-BLD-100954</t>
  </si>
  <si>
    <t>السكنه (35)</t>
  </si>
  <si>
    <t>591</t>
  </si>
  <si>
    <t xml:space="preserve">عقار سكني في محافظة البلقاء - الشونة الجنوبية تنظيم سكن مكون من طابقين ارضي واول مقام على ارض مساحتها 591 م2 ومساحة البناء الاجمالية 220 م2 ويقع قرب مسجد الشونة الجنوبية الكبير_x000D_
</t>
  </si>
  <si>
    <t>AQ-BLD-100846</t>
  </si>
  <si>
    <t>حجر الطايح (82)</t>
  </si>
  <si>
    <t>المغاريب</t>
  </si>
  <si>
    <t>301.910</t>
  </si>
  <si>
    <t>عقار سكني في محافظة البلقاء منطقة المغاريب التنظيم سكني شعبي مساحة الأرض 301.910 مساحة البناء الاجمالية 325 م2</t>
  </si>
  <si>
    <t>AQ-BLD-100913</t>
  </si>
  <si>
    <t>سيحان (403)</t>
  </si>
  <si>
    <t>مروج سيحان (8)</t>
  </si>
  <si>
    <t>854</t>
  </si>
  <si>
    <t xml:space="preserve">عقار سكني في محافظة البلقاء - السلط تنظيم سكني ب مكون من طابقين مقام على ارض مساحتها 854 م2 ومساحة البناء الاجمالية 398 م2 ويقع قرب مسجد سيحان الكبير و دوار سيحان_x000D_
</t>
  </si>
  <si>
    <t>AQ-BLD-100153</t>
  </si>
  <si>
    <t>عرقوب الخاخه (38)</t>
  </si>
  <si>
    <t>11961.980</t>
  </si>
  <si>
    <t xml:space="preserve">عقار سكني قيد الانشاء في محافظة البلقاء - السلط تنظيم زراعي خارج حدود التنظيم مكون من 3 طوابق مقام على ارض مساحتها 11962 م2 ومساحة البناء الاجمالية 1000 م2 ويقع قرب محكمة بداية السلط_x000D_
</t>
  </si>
  <si>
    <t>AQ-BLD-100970</t>
  </si>
  <si>
    <t>اراضي دير علا (24)</t>
  </si>
  <si>
    <t>ابو الزيغان (740)</t>
  </si>
  <si>
    <t>ابو الزيغان (3)</t>
  </si>
  <si>
    <t>811.490</t>
  </si>
  <si>
    <t>AQ-BLD-100291</t>
  </si>
  <si>
    <t>السرو الجنوبي (53)</t>
  </si>
  <si>
    <t>السرو</t>
  </si>
  <si>
    <t>2165</t>
  </si>
  <si>
    <t>فيلا في محافظة البلقاء - السلط منطقة السرو تنظيمها متعدد الاستعمال مقامة على قطعة ارض مساحتها 2165 م2 و مؤلفة من 4 طوابق ويوجد ساحات ومساحة البناء الاجمالية 788 م2 - خلف BIG Sale للأثاث - بالقرب من Dr Jeans للملابس</t>
  </si>
  <si>
    <t>OS-BLD-101440</t>
  </si>
  <si>
    <t>931.89</t>
  </si>
  <si>
    <t>قطعة ارض رقم 69 بمساحة 931.890 م2 سليخ خالية من الأبنية و الانشاءات ومؤمنة بالخدمات ويحدها شارعين وضمنها بعض الأشجار بشكل متفرق._x000D_
_x000D_
قطعة ارض رقم 70 بمساحة 823.200 م2 سليخ خالية من الأبنية و الانشاءات وضمنها بعض الأشجار بشكل متفرق._x000D_
_x000D_
قطعة ارض رقم 71 بمساحة 811.490 م2 ومؤمنة بالخدمات ومحاط بسور من الدكة والطوب  ويوجد ضمن القطعة ساحات وممرات مبلطة واحواض زراعية وبناء رئيسي مكون من طابق واحد جميع واجهاته حجر + بناء فرعي</t>
  </si>
  <si>
    <t>811.49</t>
  </si>
  <si>
    <t>823.2</t>
  </si>
  <si>
    <t>AQ-BLD-100241</t>
  </si>
  <si>
    <t>وادي الناقة الشمالى (27)</t>
  </si>
  <si>
    <t>7325</t>
  </si>
  <si>
    <t>AQ-LND-100205</t>
  </si>
  <si>
    <t>249.960</t>
  </si>
  <si>
    <t>محافظة البلقاء - اراضي الشونة الجنوبية - قرية مزرعة سويمة - حوض سويمة الشمالي 1 - مساحتها - 249.960 م2 تنظيم سكن د ومنتظمة الشكل ومخدومة بكافة الخدمات</t>
  </si>
  <si>
    <t>AQ-LND-100203</t>
  </si>
  <si>
    <t>محافظة البلقاء - اراضي الشونة الجنوبية - قرية مزرعة سويمة - حوض سويمة الشمالي 1 - مساحتها - 249.96 م2 تنظيم سكن د ومنتظمة الشكل ومخدومة بكافة الخدمات</t>
  </si>
  <si>
    <t>AQ-LND-100206</t>
  </si>
  <si>
    <t>AQ-LND-100134</t>
  </si>
  <si>
    <t>علان (404)</t>
  </si>
  <si>
    <t>ام عسكر (6)</t>
  </si>
  <si>
    <t>علان</t>
  </si>
  <si>
    <t>1379.950</t>
  </si>
  <si>
    <t>مساحة الأرض: 1,380 م2_x000D_
التنظيم: سكن ب_x000D_
بيانات إضافية:نوع ملك قريبة من الخدمات و منتظمة الشكل ويوجد بها ميلا ويوجد على حدها روض صغير_x000D_
الموقع: محافظة السلط - منطقة بلدية علان بالقرب من مدرسة علان الأساسية</t>
  </si>
  <si>
    <t>AQ-LND-100494</t>
  </si>
  <si>
    <t>بيوضة (398)</t>
  </si>
  <si>
    <t>المسيكرانة (7)</t>
  </si>
  <si>
    <t>1100.000</t>
  </si>
  <si>
    <t>أرض مساحتها 1100 متر ضمن حدود بلدية العارضة الجديدة - منطقة بيوضة تنظيمها سكن ب ._x000D_
واصلها جميع الخدمات منتظمة الشكل , كاشفة ومطلة مزروعة ببعض أشجار الزيتون</t>
  </si>
  <si>
    <t>AQ-LND-100199</t>
  </si>
  <si>
    <t>444.4</t>
  </si>
  <si>
    <t>ارض مساحتها - 444.4 م2 تنظيم سكن د ومنتظمة الشكل ومخدومة بكافة الخدمات</t>
  </si>
  <si>
    <t>AQ-LND-100453</t>
  </si>
  <si>
    <t>الروسات (3)</t>
  </si>
  <si>
    <t>5250</t>
  </si>
  <si>
    <t>ارض مساحتها 5250 م2_x000D_
تنظيمها سكن أ في منطقة الشونة الجنوبية - على بعد 900 متر من الجهة الشمالية الغربية لتقاطع وسط الشونة</t>
  </si>
  <si>
    <t>AQ-LND-100925</t>
  </si>
  <si>
    <t>الفحيص (395)</t>
  </si>
  <si>
    <t>عبية (19)</t>
  </si>
  <si>
    <t>22296</t>
  </si>
  <si>
    <t>AQ-LND-100926</t>
  </si>
  <si>
    <t>16117</t>
  </si>
  <si>
    <t>AQ-LND-100933</t>
  </si>
  <si>
    <t>2657</t>
  </si>
  <si>
    <t>AQ-LND-100907</t>
  </si>
  <si>
    <t>35091</t>
  </si>
  <si>
    <t>AQ-LND-100906</t>
  </si>
  <si>
    <t>13225</t>
  </si>
  <si>
    <t>AQ-LND-100901</t>
  </si>
  <si>
    <t>ام العرايس (18)</t>
  </si>
  <si>
    <t>16860</t>
  </si>
  <si>
    <t>AQ-LND-100894</t>
  </si>
  <si>
    <t>82074</t>
  </si>
  <si>
    <t>AQ-LND-100922</t>
  </si>
  <si>
    <t>9864</t>
  </si>
  <si>
    <t>AQ-LND-100891</t>
  </si>
  <si>
    <t>11076</t>
  </si>
  <si>
    <t>AQ-LND-100924</t>
  </si>
  <si>
    <t>2315</t>
  </si>
  <si>
    <t>AQ-LND-100932</t>
  </si>
  <si>
    <t>19655</t>
  </si>
  <si>
    <t>AQ-LND-100892</t>
  </si>
  <si>
    <t>4188</t>
  </si>
  <si>
    <t>AQ-LND-100928</t>
  </si>
  <si>
    <t>3360</t>
  </si>
  <si>
    <t>AQ-LND-100904</t>
  </si>
  <si>
    <t>10569</t>
  </si>
  <si>
    <t>AQ-LND-100909</t>
  </si>
  <si>
    <t>9047</t>
  </si>
  <si>
    <t>AQ-LND-100902</t>
  </si>
  <si>
    <t>1460</t>
  </si>
  <si>
    <t>AQ-LND-100903</t>
  </si>
  <si>
    <t>8467</t>
  </si>
  <si>
    <t>AQ-LND-100927</t>
  </si>
  <si>
    <t>17351</t>
  </si>
  <si>
    <t>AQ-LND-100899</t>
  </si>
  <si>
    <t>7809</t>
  </si>
  <si>
    <t>AQ-LND-100893</t>
  </si>
  <si>
    <t>7153</t>
  </si>
  <si>
    <t>AQ-LND-100900</t>
  </si>
  <si>
    <t>4264</t>
  </si>
  <si>
    <t>AQ-LND-100929</t>
  </si>
  <si>
    <t>13362</t>
  </si>
  <si>
    <t>AQ-LND-100898</t>
  </si>
  <si>
    <t>19352</t>
  </si>
  <si>
    <t>AQ-LND-100897</t>
  </si>
  <si>
    <t>11808</t>
  </si>
  <si>
    <t>AQ-LND-100931</t>
  </si>
  <si>
    <t>13661</t>
  </si>
  <si>
    <t>AQ-LND-100889</t>
  </si>
  <si>
    <t>18241</t>
  </si>
  <si>
    <t>AQ-LND-100930</t>
  </si>
  <si>
    <t>22233</t>
  </si>
  <si>
    <t>AQ-LND-100896</t>
  </si>
  <si>
    <t>7658</t>
  </si>
  <si>
    <t>AQ-LND-100895</t>
  </si>
  <si>
    <t>6219</t>
  </si>
  <si>
    <t>AQ-LND-100923</t>
  </si>
  <si>
    <t>6090</t>
  </si>
  <si>
    <t>AQ-LND-100908</t>
  </si>
  <si>
    <t>6543</t>
  </si>
  <si>
    <t>AQ-LND-100293</t>
  </si>
  <si>
    <t>AQ-LND-100358</t>
  </si>
  <si>
    <t>AQ-RE-100663</t>
  </si>
  <si>
    <t>محافظة الزرقاء</t>
  </si>
  <si>
    <t>اراضي محافظة الزرقاء (19)</t>
  </si>
  <si>
    <t>ازرق الدروز (الشمالي) (352)</t>
  </si>
  <si>
    <t>القصر (3)</t>
  </si>
  <si>
    <t>الأزرق</t>
  </si>
  <si>
    <t>شقة في محافظة الزرقاء منطقة الأزرق الشمالي التنظيم سكني ج  بمساحة 109 م2</t>
  </si>
  <si>
    <t>AQ-RE-100629</t>
  </si>
  <si>
    <t>عطل الرصيفه (383)</t>
  </si>
  <si>
    <t>رجم الجيش (3)</t>
  </si>
  <si>
    <t>الرصيفة</t>
  </si>
  <si>
    <t>85</t>
  </si>
  <si>
    <t>شقة طابق اول في محافظة الزرقاء منطقة الرصيفة التنظيم سكني د بمساحة 85 م2</t>
  </si>
  <si>
    <t>AQ-RE-101054</t>
  </si>
  <si>
    <t>الهاشمية (365)</t>
  </si>
  <si>
    <t>السايح (8)</t>
  </si>
  <si>
    <t>الهاشمية</t>
  </si>
  <si>
    <t>الشقة الشرقية من الطابق الارضي عدا سطحها بمساحة 143 متر مربع والشقة الشمالية الغربية من الطابق الاول مع سطحها بمساحة 100 متر مربع  تقع في محافظة الزرقاء، تنظيم سكن ج، بالقرب من مسجد الرحمن</t>
  </si>
  <si>
    <t>AQ-RE-100110</t>
  </si>
  <si>
    <t>الودي الغربي (7)</t>
  </si>
  <si>
    <t xml:space="preserve">شقة طابق ثاني مساحة 122 م2 في محافظة الزرقاء منطقة الهاشمية تنظيم سكني د_x000D_
</t>
  </si>
  <si>
    <t>AQ-RE-100177</t>
  </si>
  <si>
    <t>العبدلية (684)</t>
  </si>
  <si>
    <t>بسمان (2)</t>
  </si>
  <si>
    <t>مدينة الشرق</t>
  </si>
  <si>
    <t>91</t>
  </si>
  <si>
    <t xml:space="preserve">شقة طابق اول مساحة 91 م2 في محافظة الزرقاء منطقة مدينة الشرق تنظيم سكني تطوير حضري _x000D_
</t>
  </si>
  <si>
    <t>AQ-RE-100540</t>
  </si>
  <si>
    <t>عطل الزرقاء و الرصيفه (373)</t>
  </si>
  <si>
    <t>ام بياضة (10)</t>
  </si>
  <si>
    <t>ضاحية مكة المكرمة</t>
  </si>
  <si>
    <t>84</t>
  </si>
  <si>
    <t xml:space="preserve">شقة طابق اول مساحة 84 م2 في محافظة الزرقاء منطقة ضاحية مكة المكرمة تنظيم سكني ج_x000D_
</t>
  </si>
  <si>
    <t>AQ-RE-100509</t>
  </si>
  <si>
    <t>الزرقاء (349)</t>
  </si>
  <si>
    <t>وادي الحجر (13)</t>
  </si>
  <si>
    <t>جبل طارق</t>
  </si>
  <si>
    <t>101.000</t>
  </si>
  <si>
    <t xml:space="preserve">شقة طابق اول مساحة 101 م2 في محافظة الزرقاء منطقة جبل طارق تنظيم سكني تطوير حضري </t>
  </si>
  <si>
    <t>AQ-RE-100630</t>
  </si>
  <si>
    <t>108</t>
  </si>
  <si>
    <t>شقة في محافظة الزرقاء منطقة ماركا التنظيم سكني د  بمساحة 108 م2</t>
  </si>
  <si>
    <t>AQ-RE-101189</t>
  </si>
  <si>
    <t>شارع الجيش</t>
  </si>
  <si>
    <t>الشقة الجنوبية الشرقية من الطابق الاول عدا سطحها مساحتها 107 متر مربع، تنظيم سكن بأحكام خاصة، بالقرب من ترخيص الحزام</t>
  </si>
  <si>
    <t>AQ-RE-101055</t>
  </si>
  <si>
    <t>الشقة الشرقية من الطابق الاول عدا سطحها بمساحة 143 متر مربع، تنظيم سكن ج، بالقرب من مسجد الرحمن</t>
  </si>
  <si>
    <t>AQ-RE-101151</t>
  </si>
  <si>
    <t>الغباوي (381)</t>
  </si>
  <si>
    <t>الغباوي (3)</t>
  </si>
  <si>
    <t>الغباوي</t>
  </si>
  <si>
    <t>96</t>
  </si>
  <si>
    <t>الشقة الشرقية من طابق التسوية عدا سطحها، مساحتها 96 متر مربع، تنظيم سكن أبنية قائمة بأحكام خاصة، ضمن اسكان المجد</t>
  </si>
  <si>
    <t>AQ-RE-100469</t>
  </si>
  <si>
    <t xml:space="preserve">شقة طابق اول مساحة 113 م2 في محافظة الزرقاء منطقة مدينة الشرق تنظيم سكني تطوير حضري </t>
  </si>
  <si>
    <t>AQ-RE-100847</t>
  </si>
  <si>
    <t>113</t>
  </si>
  <si>
    <t xml:space="preserve">شقة طابق ثاني مساحة 113 م2 في محافظة الزرقاء منطقة مدينة الشرق تنظيم سكني تطوير حضري _x000D_
</t>
  </si>
  <si>
    <t>AQ-RE-100515</t>
  </si>
  <si>
    <t>108.000</t>
  </si>
  <si>
    <t xml:space="preserve">شقة طابق ثاني مساحة 108 م2 في محافظة الزرقاء منطقة مدينة الشرق تنظيم سكني احكام خاصة_x000D_
</t>
  </si>
  <si>
    <t>AQ-RE-100579</t>
  </si>
  <si>
    <t xml:space="preserve">شقة طابق ارضي مساحة 113 م2 في محافظة الزرقاء منطقة مدينة الشرق تنظيم سكني تطوير حضري_x000D_
</t>
  </si>
  <si>
    <t>AQ-RE-100914</t>
  </si>
  <si>
    <t xml:space="preserve">شقة طابق اول مساحة 108 م2 في محافظة الزرقاء منطقة مدينة الشرق تنظيم سكني شعبي_x000D_
</t>
  </si>
  <si>
    <t>AQ-RE-100575</t>
  </si>
  <si>
    <t>البتراوي (355)</t>
  </si>
  <si>
    <t>البتراوي الجنوبي (4)</t>
  </si>
  <si>
    <t>اسكان البتراوي</t>
  </si>
  <si>
    <t xml:space="preserve">شقة طابق تسوية مساحة 110 م2 في محافظة الزرقاء منطقة اسكان البتراوي تنظيم سكني ب_x000D_
</t>
  </si>
  <si>
    <t>AQ-RE-100135</t>
  </si>
  <si>
    <t xml:space="preserve">شقة طابق ثاني مساحة 122 م2 في محافظة الزرقاء منطقة اسكان البتراوي تنظيم سكني ب_x000D_
</t>
  </si>
  <si>
    <t>AQ-RE-100333</t>
  </si>
  <si>
    <t>اتوستراد</t>
  </si>
  <si>
    <t xml:space="preserve">شقة طابق ثالث مساحة 110 م2 في محافظة الزرقاء منطقة الاتوستراد تنظيم سكني ج_x000D_
</t>
  </si>
  <si>
    <t>AQ-RE-100351</t>
  </si>
  <si>
    <t>بركة برخ (7)</t>
  </si>
  <si>
    <t>الزرقاء الجديدة</t>
  </si>
  <si>
    <t>147</t>
  </si>
  <si>
    <t xml:space="preserve">شقة طابق ثالث مساحة 147 م2 في محافظة الزرقاء منطقة الزرقاء الجديدة تنظيم سكني ب_x000D_
</t>
  </si>
  <si>
    <t>AQ-RE-100570</t>
  </si>
  <si>
    <t>السخنه (358)</t>
  </si>
  <si>
    <t>قحويان (6)</t>
  </si>
  <si>
    <t>السخنة</t>
  </si>
  <si>
    <t>177</t>
  </si>
  <si>
    <t xml:space="preserve">شقة طابق اول مساحة 177 م2 في محافظة الزرقاء منطقة السخنة تنظيم سكني ب_x000D_
</t>
  </si>
  <si>
    <t>AQ-RE-101173</t>
  </si>
  <si>
    <t>شقة طابق ثالث في الزرقاء - البتراوي مساحتها 145 م2 وتنظيمها سكن ج بالقرب من كنيسة ماريوسف شارع عسقلان</t>
  </si>
  <si>
    <t>AQ-RE-100957</t>
  </si>
  <si>
    <t>شقة طابق ثالث في محافظة الزرقاء منطقة اسكان البتراوي التنظيم سكني ب بمساحة 139 م2</t>
  </si>
  <si>
    <t>AQ-RE-100665</t>
  </si>
  <si>
    <t>AQ-RE-100277</t>
  </si>
  <si>
    <t>154</t>
  </si>
  <si>
    <t xml:space="preserve">شقة طابق اول مساحة 154 م2 في محافظة الزرقاء منطقة اسكان البتراوي تنظيم تجاري معارض_x000D_
</t>
  </si>
  <si>
    <t>AQ-RE-100918</t>
  </si>
  <si>
    <t xml:space="preserve">شقة طابق اول مساحة 143 م2 في محافظة الزرقاء منطقة اسكان البتراوي تنظيم سكني ب_x000D_
</t>
  </si>
  <si>
    <t>AQ-RE-101179</t>
  </si>
  <si>
    <t xml:space="preserve">شقة طابق ارضي في محافظة الزرقاء منطقة اسكان البتراوي التنظيم سكني ب بمساحة 125 م2_x000D_
</t>
  </si>
  <si>
    <t>AQ-RE-101172</t>
  </si>
  <si>
    <t>149</t>
  </si>
  <si>
    <t>شقة طابق ثالث في الزرقاء - البتراوي مساحتها 149 م2 وتنظيمها سكن ج بالقرب من محلات المحشي للخضار والفواكه</t>
  </si>
  <si>
    <t>AQ-RE-100958</t>
  </si>
  <si>
    <t>شقة طابق ثالث في محافظة الزرقاء منطقة اسكان البتراوي التنظيم سكني ب بمساحة 150 م2</t>
  </si>
  <si>
    <t>AQ-RE-101181</t>
  </si>
  <si>
    <t>131</t>
  </si>
  <si>
    <t xml:space="preserve">شقة طابق ارضي في محافظة الزرقاء منطقة البتراوي التنظيم سكني ب بمساحة 131 م2_x000D_
</t>
  </si>
  <si>
    <t>AQ-RE-101138</t>
  </si>
  <si>
    <t xml:space="preserve">شقة طابق ثالث في محافظة الزرقاء منطقة البتراوي التنظيم سكني ج بمساحة 196 م2_x000D_
</t>
  </si>
  <si>
    <t>AQ-RE-101137</t>
  </si>
  <si>
    <t>197</t>
  </si>
  <si>
    <t xml:space="preserve">شقة طابق ثالث في محافظة الزرقاء منطقة البتراوي التنظيم سكني ج بمساحة 197 م2_x000D_
</t>
  </si>
  <si>
    <t>AQ-RE-101160</t>
  </si>
  <si>
    <t>186</t>
  </si>
  <si>
    <t xml:space="preserve">شقة طابق ارضي في محافظة الزرقاء منطقة اسكان البتراوي التنظيم سكني ب بمساحة 186 م2_x000D_
</t>
  </si>
  <si>
    <t>AQ-RE-101359</t>
  </si>
  <si>
    <t>AQ-RE-101437</t>
  </si>
  <si>
    <t>221</t>
  </si>
  <si>
    <t>AQ-RE-101190</t>
  </si>
  <si>
    <t>93</t>
  </si>
  <si>
    <t>AQ-RE-100026</t>
  </si>
  <si>
    <t>AQ-RE-101315</t>
  </si>
  <si>
    <t>146</t>
  </si>
  <si>
    <t>AQ-RE-100917</t>
  </si>
  <si>
    <t>AQ-RE-100489</t>
  </si>
  <si>
    <t>AQ-RE-100447</t>
  </si>
  <si>
    <t>AQ-RE-101438</t>
  </si>
  <si>
    <t>AQ-RE-100950</t>
  </si>
  <si>
    <t>الرصيفة الجنوبي</t>
  </si>
  <si>
    <t>AQ-BLD-100916</t>
  </si>
  <si>
    <t>500</t>
  </si>
  <si>
    <t xml:space="preserve">عقار تجاري في محافظة الزرقاء منطقة البتراوي تنظيم معارض تجارية مع ارتداد امامي مسقوف مكون من 3 طوابق ارضي واول وثاني  مساحة الارض 500 م2 ومساحة العقار الاجمالية 430 م2 قرب كازية المناصير _x000D_
الطابق الأرضي: بمساحة 170 م2 عبارة عن مخازن عدد 3 وشقة خلفية_x000D_
الطابق الاول:  بمساحة 170 م2 عبارة عن شقة سكنية_x000D_
الطابق الثاني بناء صغير بمساحة 30 م2_x000D_
</t>
  </si>
  <si>
    <t>AQ-BLD-100195</t>
  </si>
  <si>
    <t>خو (370)</t>
  </si>
  <si>
    <t>روض شبيب (2)</t>
  </si>
  <si>
    <t>حي الحسين</t>
  </si>
  <si>
    <t>213</t>
  </si>
  <si>
    <t>قطعة ارض فارغة وخالية من الابنية والانشاءات مساحتها 213 م2 تقع بجانب مسجد انس بن مالك</t>
  </si>
  <si>
    <t>AQ-BLD-100960</t>
  </si>
  <si>
    <t>248</t>
  </si>
  <si>
    <t xml:space="preserve">عقار سكني في محافظة الزرقاء - الهاشمية تنظيم سكن د مكون من طابقين ارضي واول مقام على ارض مساحتها 248 م2 ومساحة البناء الاجمالية 185 م2 ويقع في الهاشمية - قرب مصفاة البترول الاردنية_x000D_
</t>
  </si>
  <si>
    <t>AQ-BLD-100641</t>
  </si>
  <si>
    <t>بني معروف (17)</t>
  </si>
  <si>
    <t>836.89</t>
  </si>
  <si>
    <t xml:space="preserve">عقار سكني في محافظة الزرقاء - ازرق الدروز الشمالي تنظيم سكن ج مكون من طابق واحد مقام على ارض مساحتها 836 م2 ومساحة البناء الاجمالية 186 م2 ويقع في الأزرق – أزرق الدروز الشمالي – تبعد 300 متر عن مسجد القيسي و450 متر عن قلعة الأزرق_x000D_
</t>
  </si>
  <si>
    <t>AQ-BLD-100986</t>
  </si>
  <si>
    <t>عقار سكني في محافظة الزرقاء منطقة اسكان البتراوي التنظيم سكني شعبي مساحة الأرض 196 مساحة البناء الاجمالية 444 م2</t>
  </si>
  <si>
    <t>AQ-BLD-100577</t>
  </si>
  <si>
    <t>812</t>
  </si>
  <si>
    <t xml:space="preserve">عقار سكني في محافظة الزرقاء - الهاشمية تنظيم سكن ج مكون من 3 طوابق مقام على ارض مساحتها 812 م2 ومساحة البناء الاجمالية 572 م2 ويقع في الهاشمية - قرب مسجد قرطبة ونادي الشعلة الرياضي_x000D_
</t>
  </si>
  <si>
    <t>AQ-BLD-100880</t>
  </si>
  <si>
    <t>مزرعة قصرالحلابات (376)</t>
  </si>
  <si>
    <t>النواصف الغربي (10)</t>
  </si>
  <si>
    <t>قصر الحلابات الشرقي</t>
  </si>
  <si>
    <t>1188.63</t>
  </si>
  <si>
    <t xml:space="preserve">عقار سكني في محافظة الزرقاء - الحلابات تنظيم سكن أ مكون من 3 ابنية مقامة على ارض مساحتها 1188 م2 ومساحة الابنية الاجمالية 566 م2 ويقع في الحلابات - قرب مستودع اليقين للأدوية البيطرية_x000D_
</t>
  </si>
  <si>
    <t>AQ-BLD-100820</t>
  </si>
  <si>
    <t>1789.43</t>
  </si>
  <si>
    <t>عقار سكني في الزرقاء - منطقة البتراوي  تظيمه سكن ج مؤلف من طابق واحد وبناء فرعي مساحة الأرض 1789 م2 ومساحة العقار الاجمالية 203 م2 اضافة الى مساحات خارجية وساحات مبلطة واعمدة انارة وبئر مياه مقابل مسجد عايد الغويري</t>
  </si>
  <si>
    <t>AQ-BLD-100096</t>
  </si>
  <si>
    <t>586</t>
  </si>
  <si>
    <t>عقار سكني في الزرقاء - منطقة البتراوي و مؤلف من طابقين مساحة الأرض 586 م2 ومساحة العقار الاجمالية 600 م2 ( الطابق الأول غير مسقوف )إضافة الى مساحات خارجية وأسوار على كامل القطعة وكراج سيارة قرب مهد وكنيسة الماريوسف</t>
  </si>
  <si>
    <t>AQ-BLD-100279</t>
  </si>
  <si>
    <t>731</t>
  </si>
  <si>
    <t>عقار سكني في الزرقاء - منطقة البتراوي و مؤلف من طابقين مساحة الأرض 731 م2 ومساحة العقار الاجمالية 440 م2 إضافة الى مساحات خارجية وأسوار وكراج سيارة قرب مدارس الرباط</t>
  </si>
  <si>
    <t>AQ-BLD-100526</t>
  </si>
  <si>
    <t>الابيض (9)</t>
  </si>
  <si>
    <t>جبل الأبيض</t>
  </si>
  <si>
    <t>505</t>
  </si>
  <si>
    <t>عقار سكني في محافظة الزرقاء منطقة الجبل الأبيض التنظيم سكني د مساحة الأرض 505 مساحة البناء الاجمالية 1080 م2</t>
  </si>
  <si>
    <t>AQ-BLD-100204</t>
  </si>
  <si>
    <t>572.54</t>
  </si>
  <si>
    <t xml:space="preserve">عقار سكني في الزرقاء - منطقة البتراوي الزرقاء الجديدة و مؤلف من 3 طوابق  (1 منها تسوية) مساحة الأرض 572 م2 ومساحة العقار الاجمالية 485 م2 إضافة الى  وترسات جانبية مبلطة ومنطقة جلوس باربيكيو قرب مسجد عدي بن حاتم_x000D_
</t>
  </si>
  <si>
    <t>AQ-BLD-100912</t>
  </si>
  <si>
    <t>389</t>
  </si>
  <si>
    <t>"عقار سكني في الزرقاء - منطقة البتراوي  تظيمه معارض تجاري محلي مؤلف من 5 طوابق مساحة الأرض 389 م2 ومساحة العقار الاجمالية 1158 م2 يتكون الطابق الأرضي من شقة + مخازن وسدد _x000D_
وباقي الطوابق كل طابق عبارة عن شقتين قرب مدارس اشراق وطن"</t>
  </si>
  <si>
    <t>AQ-BLD-100420</t>
  </si>
  <si>
    <t>جريبا (388)</t>
  </si>
  <si>
    <t>ام جيعه (12)</t>
  </si>
  <si>
    <t>حي الرشيد-الرصيفة</t>
  </si>
  <si>
    <t>405</t>
  </si>
  <si>
    <t>"عقار سكني في الرصيفة - حي الرشيد  تظيمه سكن ج  مساحة الأرض 405 م2 ومساحة العقار الاجمالية 1200 م2 _x000D_
مؤلف من 6 طوابق ( 3 تسوية + ارضي + اول + ثاني + ثالث + روف) وبمجموع 14 شقة، قرب اكادمية لورا الدولية ومحكمة بداية الرصيفة"</t>
  </si>
  <si>
    <t>AQ-BLD-100236</t>
  </si>
  <si>
    <t>897</t>
  </si>
  <si>
    <t xml:space="preserve">عقار سكني في الزرقاء - منطقة البتراوي و مؤلف من 3 طوابق  (1 منها تسوية) مساحة الأرض 897 م2 ومساحة العقار الاجمالية 544 م2  - قرب مخابز الازدهار </t>
  </si>
  <si>
    <t>AQ-BLD-100046</t>
  </si>
  <si>
    <t>بيرين (368)</t>
  </si>
  <si>
    <t>الحبل (10)</t>
  </si>
  <si>
    <t>بيرين</t>
  </si>
  <si>
    <t>4461</t>
  </si>
  <si>
    <t>"عقار سكني في الزرقاء - بيرين تظيمه سكن ج  مساحة الأرض 4461 م2 ومساحة العقار الاجمالية 1891 م2 _x000D_
مؤلف من 3 طوابق (  تسوية + ارضي + اول ) قرب مسجد ذيب  الغويري وخلف مصنع مياه الشوف"</t>
  </si>
  <si>
    <t>AQ-BLD-100144</t>
  </si>
  <si>
    <t>النقب (1)</t>
  </si>
  <si>
    <t>1243</t>
  </si>
  <si>
    <t>عقار سكني مكون من 5 طوابق في محافظة الزرقاء الرصيفة تنظيم سكني أ  مؤلفة من طابق تسوية مساحة 206 م2 عبارة عن شقة _x000D_
طابق أرضي 218 م2 عبارة عن شقة واحدة_x000D_
 طابق أول مساحة 437 م2 مكون من شقتين_x000D_
طابق ثاني مساحة 437 م2 مكون من شقتين_x000D_
طابق ثالث مساحة 437 م2 مكون من شقتين_x000D_
وملحق خارجي مسقوف بالقرميد مساحة 57 م2_x000D_
إسكان الأمير هاشم قرب مدرسة الأمير حسن ومبنى البريد</t>
  </si>
  <si>
    <t>AQ-BLD-101233</t>
  </si>
  <si>
    <t>فاجرة شبيب (6)</t>
  </si>
  <si>
    <t>1772.820</t>
  </si>
  <si>
    <t xml:space="preserve">عقار سكني في منطقة البتراوي التنظيم السكني متعدد الاستعمال مساحة 1772 م2_x000D_
</t>
  </si>
  <si>
    <t>AQ-BLD-100747</t>
  </si>
  <si>
    <t>قصر الحلابات الغربي</t>
  </si>
  <si>
    <t>358.62</t>
  </si>
  <si>
    <t>AQ-BLD-100401</t>
  </si>
  <si>
    <t>المصانع (4)</t>
  </si>
  <si>
    <t>198.27</t>
  </si>
  <si>
    <t>AQ-BLD-100517</t>
  </si>
  <si>
    <t>قاع خنا (375)</t>
  </si>
  <si>
    <t>مريقب الفهود (23)</t>
  </si>
  <si>
    <t>10092.000</t>
  </si>
  <si>
    <t>AQ-BLD-100119</t>
  </si>
  <si>
    <t>مزرعة وادي الظليل (391)</t>
  </si>
  <si>
    <t>رجوم ضيف الله (2)</t>
  </si>
  <si>
    <t>الضليل</t>
  </si>
  <si>
    <t>1006</t>
  </si>
  <si>
    <t>فيلا مميزة للبيع في الزرقاء - منطقة حي الظليل الغربي - بالقرب من مسجد الأنوار - تنظيم سكن أ تتكون من طابق أرضي : مساحته 200 م2 ومقامة على قطعة ارض مساحتها  1006 م2 والفيلا محاطة بأسوار وتشطيبها سوبر ديلوكس</t>
  </si>
  <si>
    <t>AQ-BLD-100158</t>
  </si>
  <si>
    <t>ازرق  الشيشان (الجنوبي) (353)</t>
  </si>
  <si>
    <t>الناحية (7)</t>
  </si>
  <si>
    <t>1246</t>
  </si>
  <si>
    <t xml:space="preserve">فيلا مميزة للبيع في الازرق - منطقة الأزرق الجنوبي- شرق المؤسسة الاستهلاكية العسكرية- تتكون من طابق أرضي : مساحته 305 م2 ومقامة على قطعة ارض مساحتها  1246 م2 ويوجد حمام خارجي في الساحة + درج خارجي مبلط رخام وعليه اضاءة والجوانب ومدخل الفيلا عليه قرميد وبيت درج مبلط رخام دون حماية + مساحة القرميد 130 م2 _x000D_
</t>
  </si>
  <si>
    <t>AQ-BLD-101193</t>
  </si>
  <si>
    <t>567</t>
  </si>
  <si>
    <t>قطعة ارض فارغة ومستغلة كحديقة تتبع لقطعة الارض رقم 4070 والتي تحمل الرقم المرجعي AQ-BLD-101194 وتباع القطعتين معا</t>
  </si>
  <si>
    <t>AQ-BLD-101194</t>
  </si>
  <si>
    <t>595</t>
  </si>
  <si>
    <t>فيلا في محافظة الزرقاء- منطقة البتراوي تنظيمها تجاري محلي بأحكام السكن المجاور عبارة عن قطعتين أرض بمجموع مساحة 1162 م2 يوجد فيلا في القطعة الأولى مساحة 870 م2 مؤلفة من 3 طوابق ( تسوية + أرضي + أول ) ويوجد ساحات وجلسات قرميد في القطعة الثانية  - ضمن المنطقة الخامسة - البتراوي قرب مسجد الحسن الغويري</t>
  </si>
  <si>
    <t>OS-BLD-101464</t>
  </si>
  <si>
    <t>المسره (364)</t>
  </si>
  <si>
    <t>السناد (5)</t>
  </si>
  <si>
    <t>العالوك</t>
  </si>
  <si>
    <t>46487</t>
  </si>
  <si>
    <t xml:space="preserve">قطع اراضي 300 + 301 + 474 بمساحة اجمالية (46,289) م2_x000D_
مقام عليها بيت ريفي ومزروعة بأشجار الزيتون والحمضيات_x000D_
 خارج التنظيم في منطقة بيرين_x000D_
"محافظة الزرقاء - اراضي الزرقاء - قرية المسرة_x000D_
</t>
  </si>
  <si>
    <t>AQ-LND-100283</t>
  </si>
  <si>
    <t>ضبيعه (3)</t>
  </si>
  <si>
    <t>10000.000</t>
  </si>
  <si>
    <t xml:space="preserve">محافظة الزرقاء - اراضي الزرقاء - قرية قاع خنا - حوض ضبيعة 3 - مساحتها - 10,000 م2 لوحة 3 خارج التنظيم ومنتظمة الشكل_x000D_
</t>
  </si>
  <si>
    <t>AQ-LND-100287</t>
  </si>
  <si>
    <t>11784.000</t>
  </si>
  <si>
    <t xml:space="preserve">محافظة الزرقاء - اراضي الزرقاء - قرية قاع خنا الزرقاء - حوض ضبيعة 3 - مساحتها - 11,784 م2 لوحة 3 خارج التنظيم ومنتظمة الشكل_x000D_
</t>
  </si>
  <si>
    <t>AQ-LND-100290</t>
  </si>
  <si>
    <t>14263</t>
  </si>
  <si>
    <t xml:space="preserve">محافظة الزرقاء - اراضي الزرقاء - قرية قاع خنا الزرقاء - اراضي الزرقاء - قرية قاع خنا - حوض ضبيعة 3 - مساحتها - 14,263 م2 لوحة 3 خارج التنظيم ومنتظمة الشكل_x000D_
</t>
  </si>
  <si>
    <t>AQ-LND-100956</t>
  </si>
  <si>
    <t>الحاووز</t>
  </si>
  <si>
    <t>203.640</t>
  </si>
  <si>
    <t xml:space="preserve">محافظة الزرقاء - أراضي محافظة الزرقاء - قرية خو_x000D_
_x000D_
قطعة ارض بمساحة 203.04 م2 من نوع الملك تنظيمها تجاري معارض / سليخ خالية من الانشائات طولي  ضمن منطقة حي الحاووز أراضي محافظة الزرقاء / القطعة بشكل طولي / شارع العز بن عبدالسلام_x000D_
</t>
  </si>
  <si>
    <t>AQ-LND-100074</t>
  </si>
  <si>
    <t>مزرعة الرحيل (351)</t>
  </si>
  <si>
    <t>الاعنه (4)</t>
  </si>
  <si>
    <t>ضاحية الأميرة هيا</t>
  </si>
  <si>
    <t>537.540</t>
  </si>
  <si>
    <t xml:space="preserve">محافظة الزرقاء - اراضي الزرقاء - قرية مزرعة الرحيل - حوض ألاعنة 4 - مساحتها - 537.54 م2 لوحة رقم 9 شبه مثلثة الشكل ومنظمة سكن ج_x000D_
</t>
  </si>
  <si>
    <t>AQ-LND-101218</t>
  </si>
  <si>
    <t>غريسه (374)</t>
  </si>
  <si>
    <t>غريسا</t>
  </si>
  <si>
    <t>1953.1</t>
  </si>
  <si>
    <t xml:space="preserve">قطعة أرض بمساحة 1953.10 متر مربع، تنظيم سكن زراعي - خارج التنظيم، بالقرب من مدرسة الظاهرية </t>
  </si>
  <si>
    <t>AQ-LND-100547</t>
  </si>
  <si>
    <t>جوفة ذياب (11)</t>
  </si>
  <si>
    <t>جريبا</t>
  </si>
  <si>
    <t>770.000</t>
  </si>
  <si>
    <t>محافظة الزرقاء - أراضي الزرقاء - قرية جريبا - لوحة 11 _x000D_
_x000D_
قطعة ارض سليخ مساحنها 770 م2 حوض 11 جوفة ذياب لوحة 11 قرية جريبا منتظمة الشكل وخالية من الانشاءات والابنية وهي داخل التنظيم وتنظيمها سكن ج تقع ضمن حدود بلدية الرصيفة منطقة الرشيد ومخدومة بكافة الخدمات</t>
  </si>
  <si>
    <t>AQ-LND-100159</t>
  </si>
  <si>
    <t>نصار (43)</t>
  </si>
  <si>
    <t>657</t>
  </si>
  <si>
    <t>محافظة الزرقاء - أراضي الزرقاء - قرية جريبا - لوحة 43 _x000D_
_x000D_
قطعة ارض مساحتها 657 م2 سليخ وخالية من الأبنية والانشاءات والأشجار وهي غير منتظمة الشكل وتقع على شارعين معبدين ومقابل مدرسة حي نصار الأساسية الثانوية للبنين وجميع الخدمات متوفرة</t>
  </si>
  <si>
    <t>AQ-LND-100140</t>
  </si>
  <si>
    <t>مشروع ري وادي الظليل (390)</t>
  </si>
  <si>
    <t>وادي الركبان (1)</t>
  </si>
  <si>
    <t>26932</t>
  </si>
  <si>
    <t>"مزرعة للبيع في الزرقاء - قصر الحلابات - قرية يبلا مساحة الأرض 26932 م2_x000D_
مساحة الأبنية 1385 م2"</t>
  </si>
  <si>
    <t>AQ-LND-100239</t>
  </si>
  <si>
    <t>7022</t>
  </si>
  <si>
    <t>AQ-LND-100233</t>
  </si>
  <si>
    <t>23000</t>
  </si>
  <si>
    <t>AQ-LND-100237</t>
  </si>
  <si>
    <t>16267</t>
  </si>
  <si>
    <t>AQ-BLD-100518</t>
  </si>
  <si>
    <t>699.000</t>
  </si>
  <si>
    <t>منزل مستقل مكون من طابقين تسوية وارضي - مساحة الأرض 699 م2 ومساحة البناء الاجمالية 327 م2 في محافظة الزرقاء منطقة السخنة تنظيم سكني ج بالقرب من اسواق العقرباوي ودوار السخنة</t>
  </si>
  <si>
    <t>AQ-BLD-100562</t>
  </si>
  <si>
    <t>501.490</t>
  </si>
  <si>
    <t>AQ-RE-100304</t>
  </si>
  <si>
    <t>محافظة الطفيلة</t>
  </si>
  <si>
    <t>اراضي الطفيله (31)</t>
  </si>
  <si>
    <t>الطفيلة (602)</t>
  </si>
  <si>
    <t>البرنيس (75)</t>
  </si>
  <si>
    <t>83</t>
  </si>
  <si>
    <t xml:space="preserve">شقة طابق تسوية مساحة 83 م2 في محافظة الطفيلة منطقة البرنيس تنظيم سكني ج_x000D_
</t>
  </si>
  <si>
    <t>AQ-RE-100823</t>
  </si>
  <si>
    <t>ام قرى (64)</t>
  </si>
  <si>
    <t>شقة في محافظة الطفيلة منطقة بصيرا التنظيم سكني د  بمساحة 174 م2</t>
  </si>
  <si>
    <t>AQ-RE-100305</t>
  </si>
  <si>
    <t>صنفحه (608)</t>
  </si>
  <si>
    <t>البيضا (24)</t>
  </si>
  <si>
    <t xml:space="preserve">شقة طابق ارضي في محافظة الطفيلة منطقة البيضا التنظيم سكني ج بمساحة 96 م2_x000D_
</t>
  </si>
  <si>
    <t>AQ-RE-100311</t>
  </si>
  <si>
    <t>التين (58)</t>
  </si>
  <si>
    <t>العيص</t>
  </si>
  <si>
    <t>118</t>
  </si>
  <si>
    <t>شقة طابق اول في محافظة الطفيلة منطقة العيص التنظيم سكني ج بمساحة 118 م2</t>
  </si>
  <si>
    <t>AQ-RE-100310</t>
  </si>
  <si>
    <t>ام بوير (29)</t>
  </si>
  <si>
    <t>شقة طابق اول في محافظة الطفيلة منطقة العيص التنظيم سكني ب بمساحة 131 م2</t>
  </si>
  <si>
    <t>AQ-BLD-100725</t>
  </si>
  <si>
    <t>قره (59)</t>
  </si>
  <si>
    <t>1509</t>
  </si>
  <si>
    <t>"محافظة الطفيلة - اراضي الطفيلة - قرية الطفيلة_x000D_
_x000D_
 قطعة ارض نوع ملك تنظيمها سكن ب خالية من الأبنية والانشاءات ضمن تنظيم بلدية الطفيلة الكبرى - منطقة المنصورة_x000D_
_x000D_
الطفيلة - حي المنصورة - قرب مسجد المنصورة الجديد - طريق بلدية عيمة"</t>
  </si>
  <si>
    <t>AQ-BLD-100866</t>
  </si>
  <si>
    <t>737</t>
  </si>
  <si>
    <t xml:space="preserve">عقار سكني في محافظة الطفيلة بمنطقة قره المنصورة التنظيم السكني ب مساحة القطعة 737 م2 ومساحة البناء الاجمالية 105م2_x000D_
</t>
  </si>
  <si>
    <t>AQ-BLD-100995</t>
  </si>
  <si>
    <t>الرضى الشرقى (44)</t>
  </si>
  <si>
    <t>2351.350</t>
  </si>
  <si>
    <t>عقار سكني في محافظة الطفيلة، تنظيم سكن أ، مساحة القطعة 2351 متر مربع بالقرب من مسجد شيظم القديم</t>
  </si>
  <si>
    <t>AQ-BLD-100319</t>
  </si>
  <si>
    <t>762</t>
  </si>
  <si>
    <t>"عقار سكني في الطفيلة - المنصورة  تظيمه سكن ب_x000D_
مساحة الأرض 762 م2 ومساحة العقار الاجمالية 222 م2 _x000D_
مؤلف من طابقين ( أرضي + اول) _x000D_
مساحة كل طابق 91 متر _x000D_
 يوجد غرفة مستودع منفصلة بمساحة 24 م2 + قطعة ارض مزروعة ببعض اشجار الزيتون واللوزيات_x000D_
_x000D_
 الطفيلة - المنصورة - جنوب معصرة المعاني للزيتون"</t>
  </si>
  <si>
    <t>AQ-BLD-101046</t>
  </si>
  <si>
    <t>المعهد (56)</t>
  </si>
  <si>
    <t>976.970</t>
  </si>
  <si>
    <t>عقار سكني مؤلف من طابقين أرضي  بمساحة 115متر مربع  وأول بمساحة 315 متر مربع في الطفيلة تنظيم سكن ب، غرب مستشفى الطفيلة الجديد</t>
  </si>
  <si>
    <t>AQ-LND-100450</t>
  </si>
  <si>
    <t>الغوير (61)</t>
  </si>
  <si>
    <t>1924</t>
  </si>
  <si>
    <t xml:space="preserve">محافظة الطفيلة - اراضي الطفيلة - قرية الطفيلة - حوض الغوير 61 - مساحتها - 1,924 م2 منظمة سكن زراعي بأحكام خارج التنظيم_x000D_
</t>
  </si>
  <si>
    <t>AQ-LND-100953</t>
  </si>
  <si>
    <t>وادي زيد (77)</t>
  </si>
  <si>
    <t>915</t>
  </si>
  <si>
    <t>محافظة الطفيلة - اراضي الطفيلة - قرية الطفيلة_x000D_
_x000D_
 قطعة ارض نوع ملك تنظيمها سكن ب خالية من الأبنية والانشاءات منتظمة الشكل ضمن تنظيم بلدية الطفيلة الكبرى - منطقة وادي زايد_x000D_
_x000D_
الموقع: الطفيلة - وادي زايد - قرب المدرسة المهنية</t>
  </si>
  <si>
    <t>AQ-LND-100459</t>
  </si>
  <si>
    <t>3728</t>
  </si>
  <si>
    <t xml:space="preserve">محافظة الطفيلة - اراضي الطفيلة - قرية الطفيلة - حوض التين 58 - مساحتها -3,728 م2 لوحة 21 منظمة سكن ج_x000D_
</t>
  </si>
  <si>
    <t>AQ-LND-100191</t>
  </si>
  <si>
    <t>القادسية</t>
  </si>
  <si>
    <t>1633</t>
  </si>
  <si>
    <t xml:space="preserve">محافظة الطفيلة - اراضي الطفيلة - قرية الطفيلة - حوض قرة 59 - مساحتها - 1663 م2 منتظمة الشكل منظمة سكن ب يوجد بها ميلا_x000D_
</t>
  </si>
  <si>
    <t>AQ-LND-100462</t>
  </si>
  <si>
    <t>صافح (54)</t>
  </si>
  <si>
    <t>22984</t>
  </si>
  <si>
    <t xml:space="preserve">محافظة الطفيلة - اراضي الطفيلة - قرية الطفيلة - حوض صافح 54 - مساحتها - 22,984 م2 لوحة 133 زراعية خارج التنظيم_x000D_
</t>
  </si>
  <si>
    <t>AQ-LND-100382</t>
  </si>
  <si>
    <t>قرقره (67)</t>
  </si>
  <si>
    <t>الرشادية</t>
  </si>
  <si>
    <t>6279</t>
  </si>
  <si>
    <t>محافظة الطفيلة - أراضي الطفيلة - قرية الطفيلة_x000D_
قطعة ارض من نوع ملك مساحتها الاجمالية 6279 م2 وهي خارج التنظيم وخارج حدود البلدية وغير منتظمة الشكل وبها ميولات الى الجهة الشمالية وانحدارات خفيفة الى الجهة الشمالية الغربية وطبيعة تربتها صفراء</t>
  </si>
  <si>
    <t>AQ-LND-100221</t>
  </si>
  <si>
    <t>المياسر (78)</t>
  </si>
  <si>
    <t>26219</t>
  </si>
  <si>
    <t>محافظة الطفيلة - اراضي الطفيلة - قرية الطفيلة - حوض المياسر 78 - مساحتها - 26,219 م2 لوحة 96 خارج التنظيم</t>
  </si>
  <si>
    <t>AQ-LND-100467</t>
  </si>
  <si>
    <t>21204</t>
  </si>
  <si>
    <t xml:space="preserve">محافظة الطفيلة - اراضي الطفيلة - قرية الطفيلة - حوض أم بوير 29 - المساحة - 21,204 م2 لوحة 312 زراعية خارج التنظيم_x000D_
</t>
  </si>
  <si>
    <t>AQ-RE-100776</t>
  </si>
  <si>
    <t>المتجر</t>
  </si>
  <si>
    <t>محافظة العاصمة</t>
  </si>
  <si>
    <t>اراضي عمان (1)</t>
  </si>
  <si>
    <t>عمان (1)</t>
  </si>
  <si>
    <t>وادي السلط (11)</t>
  </si>
  <si>
    <t>جبل الحسين</t>
  </si>
  <si>
    <t>9</t>
  </si>
  <si>
    <t xml:space="preserve">مخزن طابق تسوية مساحة 9 م2 في محافظة العاصمة منطقة جبل الحسين تنظيم تجاري مكاتب ج_x000D_
</t>
  </si>
  <si>
    <t>AQ-RE-100783</t>
  </si>
  <si>
    <t>23</t>
  </si>
  <si>
    <t xml:space="preserve">مخزن طابق تسوية مساحة 23 م2 في محافظة العاصمة منطقة جبل الحسين تنظيم تجاري مكاتب ج_x000D_
</t>
  </si>
  <si>
    <t>AQ-RE-100784</t>
  </si>
  <si>
    <t>25</t>
  </si>
  <si>
    <t xml:space="preserve">مخزن طابق تسوية مساحة 25 م2 في محافظة العاصمة منطقة جبل الحسين تنظيم تجاري مكاتب ج_x000D_
</t>
  </si>
  <si>
    <t>AQ-RE-100780</t>
  </si>
  <si>
    <t>29</t>
  </si>
  <si>
    <t>مخزن طابق تسوية مساحة 29 م2 في محافظة العاصمة منطقة جبل الحسين تنظيم تجاري مكاتب ج</t>
  </si>
  <si>
    <t>AQ-RE-100779</t>
  </si>
  <si>
    <t>مخزن طابق تسوية مساحة 30 م2 في محافظة العاصمة منطقة جبل الحسين تنظيم تجاري مكاتب ج</t>
  </si>
  <si>
    <t>AQ-RE-100214</t>
  </si>
  <si>
    <t>المدينه (33)</t>
  </si>
  <si>
    <t>طلوع المصدار</t>
  </si>
  <si>
    <t>48</t>
  </si>
  <si>
    <t>مخزن مساحة 48 م2_x000D_
التنظيم : تجاري عادي ضمن سكن د_x000D_
رقم البناء: 19_x000D_
مؤلف من باب واحد وعبارة عن مستودع فارغ مع قاطع خرساني _x000D_
الموقع: عمان - الاشرفية - بالقرب من طلوع المصدار - شارع العباس الجوهري</t>
  </si>
  <si>
    <t>AQ-RE-100781</t>
  </si>
  <si>
    <t>المخزن الثامن عشر من طابق التسوية عدا سطحه، مساحته 23 متر مربع، تنظيم سكن تجاري حسب الشكل/ البناء، بالقرب من مجمع الحسيني مول</t>
  </si>
  <si>
    <t>AQ-RE-100782</t>
  </si>
  <si>
    <t>المخزن التاسع عشر من طابق التسوية عدا سطحه، مساحته 23 متر مربع، تنظيم سكن تجاري حسب الشكل/ البناء، بالقرب من مجمع الحسيني مول</t>
  </si>
  <si>
    <t>AQ-RE-100785</t>
  </si>
  <si>
    <t>26</t>
  </si>
  <si>
    <t>مخزن مساحة 26 م2_x000D_
التنظيم : تجاري_x000D_
رقم البناء: 175_x000D_
 مؤلف من باب واحد وعبارة عن مخزن فارغ _x000D_
الموقع: عمان - جبل الحسين - بالقرب من دوار فراس - مقابل مكسيم مول</t>
  </si>
  <si>
    <t>AQ-RE-100786</t>
  </si>
  <si>
    <t>27</t>
  </si>
  <si>
    <t>المخزن التاسع  من طابق التسوية عدا سطحه، مساحته 27 متر مربع، تنظيم سكن تجاري حسب الشكل/ البناء، بالقرب من مجمع الحسيني مول</t>
  </si>
  <si>
    <t>AQ-RE-100777</t>
  </si>
  <si>
    <t>المخزن العاشر من طابق التسوية عدا سطحه مساحته 27 متر مربع، تنظيم سكن تجاري حسب الشكل/ جسم البناء بالقرب من مجمع الحسيني مول</t>
  </si>
  <si>
    <t>AQ-RE-100778</t>
  </si>
  <si>
    <t>المخزن الحادي عشر من طابق التسوية عدا سطحه، مساحته 30 متر مربع، تنظيم سكن تجاري حسب الشكل/ البناء، بالقرب من مجمع الحسيني مول</t>
  </si>
  <si>
    <t>AQ-RE-100385</t>
  </si>
  <si>
    <t>عبدون (27)</t>
  </si>
  <si>
    <t>عبدون</t>
  </si>
  <si>
    <t>315</t>
  </si>
  <si>
    <t xml:space="preserve"> سطح مقام عليه بناء في عبدون - تنظيم سكن د - مساحة 142 م2 - بناء رقم 24 - قرب تاج مول والشرطة البيئية_x000D_
</t>
  </si>
  <si>
    <t>AQ-RE-100686</t>
  </si>
  <si>
    <t>اراضي جنوب عمان (6)</t>
  </si>
  <si>
    <t>الرقيم (136)</t>
  </si>
  <si>
    <t>ابو صوانه (3)</t>
  </si>
  <si>
    <t>سحاب</t>
  </si>
  <si>
    <t>1174</t>
  </si>
  <si>
    <t>AQ-RE-100688</t>
  </si>
  <si>
    <t>1187</t>
  </si>
  <si>
    <t>AQ-RE-100689</t>
  </si>
  <si>
    <t>1943</t>
  </si>
  <si>
    <t>AQ-RE-101042</t>
  </si>
  <si>
    <t>القويسمه (130)</t>
  </si>
  <si>
    <t>النهاريه (3)</t>
  </si>
  <si>
    <t>النهارية</t>
  </si>
  <si>
    <t>90</t>
  </si>
  <si>
    <t>شقة طابق ثاني في محافظة العاصمة منطقة القويسمة التنظيم سكني د بمساحة 90 م2</t>
  </si>
  <si>
    <t>AQ-RE-101092</t>
  </si>
  <si>
    <t>88</t>
  </si>
  <si>
    <t xml:space="preserve">شقة طابق ثاني في محافظة العاصمة منطقة القويسمة التنظيم سكني ب بمساحة 88 م2_x000D_
</t>
  </si>
  <si>
    <t>AQ-RE-100019</t>
  </si>
  <si>
    <t>اراضي شرق عمان (5)</t>
  </si>
  <si>
    <t>ماركا (127)</t>
  </si>
  <si>
    <t>بلد ماركا الشماليه (5)</t>
  </si>
  <si>
    <t>ماركا</t>
  </si>
  <si>
    <t xml:space="preserve">شقة طابق تسوية مساحة 85 م2 في محافظة العاصمة منطقة ماركا تنظيم سكني د_x000D_
</t>
  </si>
  <si>
    <t>AQ-RE-100267</t>
  </si>
  <si>
    <t>اراضي الموقر (38)</t>
  </si>
  <si>
    <t>سالم (149)</t>
  </si>
  <si>
    <t>شاكر الجنوبي (2)</t>
  </si>
  <si>
    <t>الموقر</t>
  </si>
  <si>
    <t>84.000</t>
  </si>
  <si>
    <t xml:space="preserve">شقة طابق ارضي مساحة 84 م2 في محافظة العاصمة منطقة الموقر تنظيم سكني احكام خاصة </t>
  </si>
  <si>
    <t>AQ-RE-100538</t>
  </si>
  <si>
    <t>ابو علندا (131)</t>
  </si>
  <si>
    <t>المناطير (27)</t>
  </si>
  <si>
    <t>ابو علندا</t>
  </si>
  <si>
    <t>97.000</t>
  </si>
  <si>
    <t xml:space="preserve"> شقة طابق تسوية في منطقة أبو علندا- سكن كريم - بناء رقم 82 - تنظيمها سكن بأحكام خاصة - مساحتها 97 م2 قرب مصنع الغاز - طريق الحزام _x000D_
</t>
  </si>
  <si>
    <t>AQ-RE-100102</t>
  </si>
  <si>
    <t xml:space="preserve"> شقة طابق ثاني في أبو علندا - التطوير الحضري - تنظيمها سكن بأحكام خاصة - مساحتها 91 م2  - مقابل مدرسة خولة بنت الازور - قرب مسجد عقيلة_x000D_
</t>
  </si>
  <si>
    <t>AQ-RE-100314</t>
  </si>
  <si>
    <t>النويجيس (128)</t>
  </si>
  <si>
    <t>خنيفسه (3)</t>
  </si>
  <si>
    <t>الهاشمي الشمالي</t>
  </si>
  <si>
    <t>136</t>
  </si>
  <si>
    <t xml:space="preserve">شقة طابق اول مساحة 136 م2 في محافظة العاصمة منطقة  تنظيم سكني د_x000D_
</t>
  </si>
  <si>
    <t>AQ-RE-100117</t>
  </si>
  <si>
    <t>المرقب (8)</t>
  </si>
  <si>
    <t>صالحية العابد</t>
  </si>
  <si>
    <t xml:space="preserve">شقة طابق تسوية مساحة 100 م2 في محافظة العاصمة منطقة صالحية العابد تنظيم سكني ج_x000D_
</t>
  </si>
  <si>
    <t>AQ-RE-100619</t>
  </si>
  <si>
    <t>الونانات (2)</t>
  </si>
  <si>
    <t xml:space="preserve">شقة طابق ثاني مساحة 115 م2 في محافظة العاصمة منطقة ماركا تنظيم سكني ج_x000D_
</t>
  </si>
  <si>
    <t>AQ-RE-100620</t>
  </si>
  <si>
    <t>AQ-RE-100366</t>
  </si>
  <si>
    <t xml:space="preserve"> شقة طابق اول في أبو علندا - التطوير الحضري - تنظيمها سكن بأحكام خاصة - مساحتها 113 م2  - بناء رقم  61 قرب مركز صحي ابو علندا</t>
  </si>
  <si>
    <t>AQ-RE-100269</t>
  </si>
  <si>
    <t xml:space="preserve">شقة طابق تسوية مساحة 107 م2 في محافظة العاصمة منطقة الموقر تنظيم سكني احكام خاصة </t>
  </si>
  <si>
    <t>AQ-RE-100344</t>
  </si>
  <si>
    <t>صهاة بن عزيز (14)</t>
  </si>
  <si>
    <t xml:space="preserve">شقة طابق ارضي في منطقة أبو علندا- حي النهضة - تنظيمها سكن بأحكام خاصة - مساحتها 83 م2 قرب مسجد الشيخ حمد الدروبي </t>
  </si>
  <si>
    <t>AQ-RE-100066</t>
  </si>
  <si>
    <t xml:space="preserve">شقة طابق اول مساحة 115 م2 في محافظة العاصمة منطقة ماركا تنظيم سكني د_x000D_
</t>
  </si>
  <si>
    <t>AQ-RE-100514</t>
  </si>
  <si>
    <t>114.000</t>
  </si>
  <si>
    <t xml:space="preserve"> شقة طابق ثاني في منطقة أبو علندا- سكن كريم - تنظيمها سكن بأحكام خاصة - مساحتها 114 م2 قرب مسجد ابي بكر الصديق _x000D_
</t>
  </si>
  <si>
    <t>AQ-RE-101041</t>
  </si>
  <si>
    <t>القويسمة</t>
  </si>
  <si>
    <t>شقة طابق اول في محافظة العاصمة منطقة القويسمة التنظيم سكني د بمساحة 88 م2</t>
  </si>
  <si>
    <t>AQ-RE-100539</t>
  </si>
  <si>
    <t>128.000</t>
  </si>
  <si>
    <t xml:space="preserve"> شقة طابق ثالث في منطقة أبو علندا- بناء رقم 7 - تنظيمها سكن بأحكام خاصة - مساحتها 128 م2 قرب سوبر ماركت أبو عزيز _x000D_
</t>
  </si>
  <si>
    <t>AQ-RE-100118</t>
  </si>
  <si>
    <t>141</t>
  </si>
  <si>
    <t xml:space="preserve">شقة طابق ثالث في منطقة أبو علندا- سكن كريم - تنظيمها سكن بأحكام خاصة - مساحتها 141 م2 قرب الشركة الوطنية للزيوت </t>
  </si>
  <si>
    <t>AQ-RE-100616</t>
  </si>
  <si>
    <t xml:space="preserve">شقة طابق ارضي مساحة 115 م2 في محافظة العاصمة منطقة ماركا تنظيم سكني ج_x000D_
</t>
  </si>
  <si>
    <t>AQ-RE-101040</t>
  </si>
  <si>
    <t>شقة طابق اول في محافظة العاصمة منطقة القويسمة التنظيم سكني د بمساحة 90 م2</t>
  </si>
  <si>
    <t>AQ-RE-100618</t>
  </si>
  <si>
    <t>AQ-RE-100480</t>
  </si>
  <si>
    <t>تلاع النجار (10)</t>
  </si>
  <si>
    <t>119.000</t>
  </si>
  <si>
    <t xml:space="preserve"> شقة طابق ثاني في منطقة أبو علندا- تنظيمها سكن ج - مساحتها 119 م2 قرب حضانة ستار سوبر كيدز _x000D_
</t>
  </si>
  <si>
    <t>AQ-RE-100667</t>
  </si>
  <si>
    <t>128</t>
  </si>
  <si>
    <t xml:space="preserve">شقة طابق ثاني مساحة 128 م2 في محافظة العاصمة منطقة الهاشمي الشمالي تنظيم سكني ج_x000D_
</t>
  </si>
  <si>
    <t>AQ-RE-100512</t>
  </si>
  <si>
    <t>الذراع الشمالي (37)</t>
  </si>
  <si>
    <t>الذراع</t>
  </si>
  <si>
    <t>125.000</t>
  </si>
  <si>
    <t xml:space="preserve"> شقة طابق ارضي في الذراع الشمالي - حي الهلال - تنظيمها سكن د - مساحتها 125 م2 قرب دوار القيسية_x000D_
</t>
  </si>
  <si>
    <t>AQ-RE-100594</t>
  </si>
  <si>
    <t>جرينين الغربي (5)</t>
  </si>
  <si>
    <t>جبل النزهة</t>
  </si>
  <si>
    <t>101</t>
  </si>
  <si>
    <t xml:space="preserve">شقة طابق ارضي مساحة 101 م2 في محافظة العاصمة منطقة جبل النزهة تنظيم سكني د_x000D_
</t>
  </si>
  <si>
    <t>AQ-RE-100201</t>
  </si>
  <si>
    <t>الموقر (140)</t>
  </si>
  <si>
    <t>168</t>
  </si>
  <si>
    <t xml:space="preserve">شقة طابق ارضي مساحة 168 م2 في محافظة العاصمة منطقة الموقر تنظيم سكني أ_x000D_
</t>
  </si>
  <si>
    <t>AQ-RE-100860</t>
  </si>
  <si>
    <t>عويس (1)</t>
  </si>
  <si>
    <t xml:space="preserve"> شقة طابق ثاني في منطقة القويسمة - تنظيمها سكن د - مساحتها 103 م2 قرب مدارس الناصر الحديثه _x000D_
</t>
  </si>
  <si>
    <t>AQ-RE-100289</t>
  </si>
  <si>
    <t>برقع (9)</t>
  </si>
  <si>
    <t xml:space="preserve">شقة طابق ثالث مساحة 128 م2 في محافظة العاصمة منطقة ماركا تنظيم سكني ج_x000D_
</t>
  </si>
  <si>
    <t>AQ-RE-100286</t>
  </si>
  <si>
    <t>AQ-RE-100282</t>
  </si>
  <si>
    <t xml:space="preserve">شقة طابق ثاني مساحة 128 م2 في محافظة العاصمة منطقة ماركا تنظيم سكني ج_x000D_
</t>
  </si>
  <si>
    <t>AQ-RE-100278</t>
  </si>
  <si>
    <t>AQ-RE-101203</t>
  </si>
  <si>
    <t>جبل النصر</t>
  </si>
  <si>
    <t xml:space="preserve">شقة طابق تسوية مساحة 110م2 في محافظة العاصمة منطقة النصر تنظيم سكني ج_x000D_
</t>
  </si>
  <si>
    <t>AQ-RE-101133</t>
  </si>
  <si>
    <t>127</t>
  </si>
  <si>
    <t xml:space="preserve">شقة جنوبية طابق تسوية الثانية عدا سطحها في محافظة العاصمة منطقة النويجيس التنظيم سكني د بمساحة 127 م2_x000D_
</t>
  </si>
  <si>
    <t>AQ-RE-100432</t>
  </si>
  <si>
    <t xml:space="preserve">شقة طابق اول مساحة 128 م2 في محافظة العاصمة منطقة ماركا تنظيم سكني ج_x000D_
</t>
  </si>
  <si>
    <t>AQ-RE-100597</t>
  </si>
  <si>
    <t>AQ-RE-100174</t>
  </si>
  <si>
    <t>اراضي شمال عمان (4)</t>
  </si>
  <si>
    <t>عين الباشا (124)</t>
  </si>
  <si>
    <t>ام صفاتين (9)</t>
  </si>
  <si>
    <t>صافوط</t>
  </si>
  <si>
    <t>119</t>
  </si>
  <si>
    <t xml:space="preserve">شقة طابق ثالث في منطقة عين الباشا - صافوط - تنظيمها سكن ج - مساحتها 119 م2 قرب مدرسة عين الباشا الثانوية للبنات و خلف بقالة ابو العربي </t>
  </si>
  <si>
    <t>AQ-RE-100323</t>
  </si>
  <si>
    <t>111</t>
  </si>
  <si>
    <t xml:space="preserve">شقة طابق تسوية في منطقة النصر- تنظيمها سكن ج - مساحتها 111 م2 قرب مسجد عبدالله خلف وقصر سمية للأفراح </t>
  </si>
  <si>
    <t>AQ-RE-101057</t>
  </si>
  <si>
    <t>المبرك (24)</t>
  </si>
  <si>
    <t>98</t>
  </si>
  <si>
    <t xml:space="preserve">شقة طابق اول في محافظة العاصمة منطقة ابو علندا التنظيم سكني ج بمساحة 98 م2_x000D_
</t>
  </si>
  <si>
    <t>AQ-RE-100133</t>
  </si>
  <si>
    <t>طبربور (129)</t>
  </si>
  <si>
    <t>حويجر (6)</t>
  </si>
  <si>
    <t>طبربور</t>
  </si>
  <si>
    <t>شقة طابق تسوية  في منطقة طبربور-طارق - تنظيمها سكن ب - مساحتها 115 م2 بناء رقم  22ج/24 قرب مسجد موسى الهدبان و مدرسة عبداللطيف عابدين</t>
  </si>
  <si>
    <t>AQ-RE-100484</t>
  </si>
  <si>
    <t>132.000</t>
  </si>
  <si>
    <t xml:space="preserve"> شقة طابق تسوية في القويسمة - حي الاميرة عالية مساحتها 132 م2  - تنظيمها سكن د -بناء رقم  3 قرب روضة ومدارس الناصر الحديثة وسوبر ماركت ريان_x000D_
</t>
  </si>
  <si>
    <t>AQ-RE-101226</t>
  </si>
  <si>
    <t>الرواق (2)</t>
  </si>
  <si>
    <t>الشقة الشرقية من طابق التسوية الاولى عدا سطحها تنظيم سكن ج مساحتها 113 متر مربع</t>
  </si>
  <si>
    <t>AQ-RE-100942</t>
  </si>
  <si>
    <t>نايفه (4)</t>
  </si>
  <si>
    <t>بسمان</t>
  </si>
  <si>
    <t xml:space="preserve">شقة طابق تسوية مساحة 119 م2 في محافظة العاصمة منطقة بسمان تنظيم سكني ج_x000D_
</t>
  </si>
  <si>
    <t>AQ-RE-100384</t>
  </si>
  <si>
    <t>جحره الجنوبي (51)</t>
  </si>
  <si>
    <t>الياسمين</t>
  </si>
  <si>
    <t>شقة طابق ثالث في ضاحية الياسمين - تنظيمها سكن د - مساحتها 109 م2 - بناء رقم  32 - قرب دوار قرقش</t>
  </si>
  <si>
    <t>AQ-RE-100345</t>
  </si>
  <si>
    <t>132</t>
  </si>
  <si>
    <t>شقة طابق رابع في القويسمة - المنارة  - تنظيمها سكن ج - مساحتها 132 م2 قرب مدرسة المنارة</t>
  </si>
  <si>
    <t>AQ-RE-100444</t>
  </si>
  <si>
    <t xml:space="preserve">شقة طابق ارضي مساحة 128 م2 في محافظة العاصمة منطقة ماركا تنظيم سكني ج_x000D_
</t>
  </si>
  <si>
    <t>AQ-RE-100184</t>
  </si>
  <si>
    <t>ام صويوينه الشمالي (41)</t>
  </si>
  <si>
    <t>جبل الزهور</t>
  </si>
  <si>
    <t>117</t>
  </si>
  <si>
    <t xml:space="preserve">شقة طابق ارضي في منطقة الزهور مساحتها 117 م2 بناء رقم 9 بجانب مدرسة احمد الطراونة الثانوية للبنين </t>
  </si>
  <si>
    <t>AQ-RE-101124</t>
  </si>
  <si>
    <t>الذراع الشرقي (46)</t>
  </si>
  <si>
    <t xml:space="preserve">الشقة الجنوبية الشرقية من طابق ثالث عدا سطحها في محافظة العاصمة التنظيم سكني ج بمساحة 126 م2_x000D_
</t>
  </si>
  <si>
    <t>AQ-RE-100831</t>
  </si>
  <si>
    <t>ابو نصير (111)</t>
  </si>
  <si>
    <t>الوسية (3)</t>
  </si>
  <si>
    <t>ابو نصير</t>
  </si>
  <si>
    <t>105</t>
  </si>
  <si>
    <t xml:space="preserve">شقة طابق ثاني مساحة 105 م2 في محافظة العاصمة منطقة  تنظيم سكني د_x000D_
</t>
  </si>
  <si>
    <t>AQ-RE-100833</t>
  </si>
  <si>
    <t xml:space="preserve">شقة طابق ثالث مساحة 105 م2 في محافظة العاصمة منطقة  تنظيم سكني د_x000D_
</t>
  </si>
  <si>
    <t>AQ-RE-100478</t>
  </si>
  <si>
    <t>160.000</t>
  </si>
  <si>
    <t xml:space="preserve"> شقة طابق تسوية في طبربور - تنظيمها سكن ج - مساحتها 160 م2 بناء رقم  40 قرب مسجد الملك الحسين بن طلال_x000D_
</t>
  </si>
  <si>
    <t>AQ-RE-100841</t>
  </si>
  <si>
    <t xml:space="preserve">شقة طابق تسوية مساحة 108 م2 في محافظة العاصمة منطقة الهاشمي الشمالي تنظيم سكني ج_x000D_
</t>
  </si>
  <si>
    <t>AQ-RE-100535</t>
  </si>
  <si>
    <t>المدوره (5)</t>
  </si>
  <si>
    <t>140.000</t>
  </si>
  <si>
    <t xml:space="preserve"> شقة طابق تسوية في طبربور - تنظيمها سكن ب - مساحتها 140 م2 بناء رقم  82 - قرب مدارس التلال الذهبية - ضمن إسكان حسين رباح 4_x000D_
</t>
  </si>
  <si>
    <t>AQ-RE-101114</t>
  </si>
  <si>
    <t>المياله (8)</t>
  </si>
  <si>
    <t xml:space="preserve">شقة طابق اول عدا سطحها في محافظة العاصمة التنظيم سكني ب بمساحة 131 م2_x000D_
</t>
  </si>
  <si>
    <t>AQ-RE-100157</t>
  </si>
  <si>
    <t>الجبيهه (112)</t>
  </si>
  <si>
    <t>جذر البلد (3)</t>
  </si>
  <si>
    <t>الجبيهة</t>
  </si>
  <si>
    <t>120</t>
  </si>
  <si>
    <t>شقة طابق ثاني في الجبيهة - تنظيمها سكن ب - مساحتها 120 م2 - شارع عتيقة بن زيد - خلف فندق النور واللجين</t>
  </si>
  <si>
    <t>AQ-RE-100146</t>
  </si>
  <si>
    <t>ياجوز (126)</t>
  </si>
  <si>
    <t>زربي (1)</t>
  </si>
  <si>
    <t>ياجوز</t>
  </si>
  <si>
    <t>الشقة الشرقية من طابق التسوية الثانية في منطقة ياجوز - تنظيمها سكن ب - مساحتها 150 م2 - قرب محطة السويلمين للمحروقات</t>
  </si>
  <si>
    <t>AQ-RE-100130</t>
  </si>
  <si>
    <t>خريبة السوق  و جاوا (144)</t>
  </si>
  <si>
    <t>وادي الطي (5)</t>
  </si>
  <si>
    <t>خربة السوق</t>
  </si>
  <si>
    <t>162</t>
  </si>
  <si>
    <t xml:space="preserve">شقة طابق تسوية في منطقة خريبة السوق - تنظيمها سكن ج - مساحتها 162 م2 قرب مركز امن الجويدة - بجانب مسجد عبد الحميد </t>
  </si>
  <si>
    <t>AQ-RE-100027</t>
  </si>
  <si>
    <t>ضاحية الامير حسن</t>
  </si>
  <si>
    <t xml:space="preserve"> شقة طابق تسوية في منطقة ضاحية الأمير حسن مساحتها 163 م2 شارع عبدالله بن فروخ قرب سوبر ماركت علاء_x000D_
</t>
  </si>
  <si>
    <t>AQ-RE-100541</t>
  </si>
  <si>
    <t>162.000</t>
  </si>
  <si>
    <t xml:space="preserve"> شقة طابق ثالث في الهاشمي الشمالي - تنظيمها سكن ج - مساحتها 162 م2 شارع النعمان بن مالك - قرب روضة ومدارس الاريج_x000D_
</t>
  </si>
  <si>
    <t>AQ-RE-100824</t>
  </si>
  <si>
    <t xml:space="preserve">شقة طابق تسوية مساحة 96 م2 في محافظة العاصمة منطقة  تنظيم سكني د_x000D_
</t>
  </si>
  <si>
    <t>AQ-RE-100829</t>
  </si>
  <si>
    <t xml:space="preserve">شقة طابق اول مساحة 105 م2 في محافظة العاصمة منطقة  تنظيم سكني د_x000D_
</t>
  </si>
  <si>
    <t>AQ-RE-100550</t>
  </si>
  <si>
    <t>ام نواره (2)</t>
  </si>
  <si>
    <t>ام نوارة</t>
  </si>
  <si>
    <t>150.000</t>
  </si>
  <si>
    <t xml:space="preserve"> شقة طابق ثاني في القويسمة - ام نوارة  - تنظيمها سكن ب - مساحتها 150 م2 بناء رقم  25 - قرب مسجد إسماعيل القهيوي_x000D_
</t>
  </si>
  <si>
    <t>AQ-RE-100014</t>
  </si>
  <si>
    <t xml:space="preserve"> شقة طابق تسوية في منطقة ضاحية الياسمين مساحتها 141 م2 بناء رقم 16 قرب مسجد فاطمة الزهراء_x000D_
</t>
  </si>
  <si>
    <t>AQ-RE-100711</t>
  </si>
  <si>
    <t>الجبيهه الغربي (5)</t>
  </si>
  <si>
    <t xml:space="preserve"> شقة طابق ثالث في الجبيهة - تنظيمها سكن أ - مساحتها 118 م2 - خلف كازية توتال - قرب الدكتور للمفروشات الطبية_x000D_
</t>
  </si>
  <si>
    <t>AQ-RE-100169</t>
  </si>
  <si>
    <t>شقة طابق ثالث في الجبيهة - تنظيمها سكن أ - مساحتها 121 م2 - خلف كازية توتال - قرب الدكتور للمفروشات الطبية</t>
  </si>
  <si>
    <t>AQ-RE-100516</t>
  </si>
  <si>
    <t xml:space="preserve">شقة طابق تسوية مساحة 137 م2 في محافظة العاصمة منطقة بسمان تنظيم سكني ج_x000D_
</t>
  </si>
  <si>
    <t>AQ-RE-101024</t>
  </si>
  <si>
    <t>شقة طابق ثالث في محافظة العاصمة منطقة طبربور التنظيم سكني ب بمساحة 136 م2</t>
  </si>
  <si>
    <t>AQ-RE-101130</t>
  </si>
  <si>
    <t xml:space="preserve">شقة شمالية من طابق ثاني عدا سطحها في طبربور التنظيم سكني ب بمساحة 150 م2_x000D_
</t>
  </si>
  <si>
    <t>AQ-RE-100675</t>
  </si>
  <si>
    <t xml:space="preserve">شقة طابق ثالث مساحة 145 م2 في محافظة العاصمة منطقة  تنظيم سكني ب_x000D_
</t>
  </si>
  <si>
    <t>AQ-RE-100673</t>
  </si>
  <si>
    <t>شقة طابق ثاني في محافظة العاصمة منطقة طبربور التنظيم سكني ب بمساحة 145 م2</t>
  </si>
  <si>
    <t>AQ-RE-101050</t>
  </si>
  <si>
    <t>المغيرات (3)</t>
  </si>
  <si>
    <t xml:space="preserve">شقة طابق ثالث في محافظة العاصمة منطقة ماركا التنظيم سكني د بمساحة 143 م2_x000D_
</t>
  </si>
  <si>
    <t>AQ-RE-100492</t>
  </si>
  <si>
    <t>تلاع العلي (119)</t>
  </si>
  <si>
    <t>التلاع الشمالي (2)</t>
  </si>
  <si>
    <t>تلاع العلي</t>
  </si>
  <si>
    <t>106</t>
  </si>
  <si>
    <t xml:space="preserve">شقة طابق ثاني عدا سطحها في محافظة العاصمة التنظيم ج بمساحة 106 م2_x000D_
</t>
  </si>
  <si>
    <t>AQ-RE-100811</t>
  </si>
  <si>
    <t xml:space="preserve">شقة طابق ثالث مساحة 150 م2 في محافظة العاصمة منطقة الياسمين تنظيم سكني ج_x000D_
</t>
  </si>
  <si>
    <t>AQ-RE-101049</t>
  </si>
  <si>
    <t xml:space="preserve">شقة طابق ثاني في محافظة العاصمة منطقة ماركا التنظيم سكني د بمساحة 143 م2_x000D_
</t>
  </si>
  <si>
    <t>AQ-RE-101134</t>
  </si>
  <si>
    <t>الشمساني (8)</t>
  </si>
  <si>
    <t>79</t>
  </si>
  <si>
    <t xml:space="preserve">الشقة الجنوبية الغربية من طابق التسوية عدا سطحها في محافظة العاصمة التنظيم سكني ب بمساحة 79 م2_x000D_
</t>
  </si>
  <si>
    <t>AQ-RE-100832</t>
  </si>
  <si>
    <t xml:space="preserve">شقة طابق ثالث مساحة 129 م2 في محافظة العاصمة منطقة  تنظيم سكني د_x000D_
</t>
  </si>
  <si>
    <t>AQ-RE-101048</t>
  </si>
  <si>
    <t xml:space="preserve">شقة طابق اول في محافظة العاصمة منطقة ماركا التنظيم سكني د بمساحة 143 م2_x000D_
</t>
  </si>
  <si>
    <t>AQ-RE-100182</t>
  </si>
  <si>
    <t>صويلح (109)</t>
  </si>
  <si>
    <t>الجبيهه (2)</t>
  </si>
  <si>
    <t>155</t>
  </si>
  <si>
    <t>شقة طابق تسوية مساحة 155 م2 في محافظة العاصمة منطقة صويلح  تنظيم سكني ب</t>
  </si>
  <si>
    <t>AQ-RE-101083</t>
  </si>
  <si>
    <t>الشقة الجنوبية الشرقية من الطابق الثالث عدا سطحها ومساحتها 150 متر مربع، تنظيم سكن ب، بالقرب من مدرسة ضاحية الامير هاشم</t>
  </si>
  <si>
    <t>AQ-RE-100549</t>
  </si>
  <si>
    <t>163.000</t>
  </si>
  <si>
    <t xml:space="preserve"> شقة طابق تسوية في طبربور - حي الشهيد - تنظيمها سكن ج - مساحتها 163 م2 بناء رقم  54 شارع فائق الشلول _x000D_
</t>
  </si>
  <si>
    <t>AQ-RE-100830</t>
  </si>
  <si>
    <t xml:space="preserve">شقة طابق ثاني مساحة 129 م2 في محافظة العاصمة منطقة  تنظيم سكني د_x000D_
</t>
  </si>
  <si>
    <t>AQ-RE-100122</t>
  </si>
  <si>
    <t>ام اذينات (6)</t>
  </si>
  <si>
    <t>شقة طابق ثالث في القويسمة مساحتها 150 م2  - تنظيمها سكن ب - بناء رقم  233 قرب دفاع مدني القويسمة</t>
  </si>
  <si>
    <t>AQ-RE-101053</t>
  </si>
  <si>
    <t>جحره الشمالي (40)</t>
  </si>
  <si>
    <t>116</t>
  </si>
  <si>
    <t xml:space="preserve">شقة طابق تسوية في محافظة العاصمة منطقة الياسمين التنظيم سكني ج بمساحة 116 م2_x000D_
</t>
  </si>
  <si>
    <t>AQ-RE-100634</t>
  </si>
  <si>
    <t>219</t>
  </si>
  <si>
    <t>شقة طابق تسوية في محافظة العاصمة منطقة الذراع التنظيم سكني د بمساحة 219 م2</t>
  </si>
  <si>
    <t>AQ-RE-101146</t>
  </si>
  <si>
    <t>الأمير حمزة</t>
  </si>
  <si>
    <t xml:space="preserve">الشقة الجنوبية الشرقية من طابق التسوية الثانية عدا سطحها في محافظة العاصمة التنظيم سكني أ بمساحة 149 م2_x000D_
</t>
  </si>
  <si>
    <t>AQ-RE-100039</t>
  </si>
  <si>
    <t>اراضي غرب عمان (2)</t>
  </si>
  <si>
    <t>وادي السير (62)</t>
  </si>
  <si>
    <t>الدربيات (14)</t>
  </si>
  <si>
    <t>وادي السير</t>
  </si>
  <si>
    <t>138</t>
  </si>
  <si>
    <t xml:space="preserve"> شقة طابق ثالث في منطقة البيادر - تنظيمها سكن ج - مساحتها 138 م2 - شارع اسماعيل العقيلي - قرب دوار الدفاع المدني _x000D_
</t>
  </si>
  <si>
    <t>AQ-RE-101122</t>
  </si>
  <si>
    <t xml:space="preserve">شقة جنوبية غربية من الطابق الثاني في طبربور التنظيم سكني ب بمساحة 150 م2_x000D_
</t>
  </si>
  <si>
    <t>AQ-RE-100868</t>
  </si>
  <si>
    <t>156</t>
  </si>
  <si>
    <t>شقة طابق اول في محافظة العاصمة منطقة طبربور التنظيم سكني ب بمساحة 156 م2</t>
  </si>
  <si>
    <t>AQ-RE-100123</t>
  </si>
  <si>
    <t>شقة طابق ثالث في القويسمة مساحتها 150 م2  - تنظيمها سكن ب - قرب مركز امن القويسمة ومدرسة يافا الأساسية للبنات</t>
  </si>
  <si>
    <t>AQ-RE-101047</t>
  </si>
  <si>
    <t>شقة طابق ارضي في محافظة العاصمة منطقة ماركا التنظيم سكني د بمساحة 143 م2</t>
  </si>
  <si>
    <t>AQ-RE-100826</t>
  </si>
  <si>
    <t xml:space="preserve">شقة طابق ارضي مساحة 129 م2 في محافظة العاصمة منطقة أبو نصير تنظيم سكني د_x000D_
</t>
  </si>
  <si>
    <t>AQ-RE-100828</t>
  </si>
  <si>
    <t xml:space="preserve">شقة طابق اول مساحة 129 م2 في محافظة العاصمة منطقة أبو نصير تنظيم سكني د_x000D_
</t>
  </si>
  <si>
    <t>AQ-RE-100115</t>
  </si>
  <si>
    <t>شقة طابق اول في طبربور - تنظيمها سكن ب - مساحتها 167 م2 - بناء رقم  39 قرب عريفة مول و مسجد عباس الشريدة</t>
  </si>
  <si>
    <t>AQ-RE-101232</t>
  </si>
  <si>
    <t>الشقة الشمالية الشرقية من الطابق الثالث عدا سطحها تنظيم سكن ب،مساحتها 150 متر مربع قرب مسجد الصفا والمروة</t>
  </si>
  <si>
    <t>AQ-RE-100632</t>
  </si>
  <si>
    <t>AQ-RE-101182</t>
  </si>
  <si>
    <t xml:space="preserve">شقة طابق ثاني في محافظة العاصمة منطقة طبربور التنظيم سكني ب بمساحة 138 م2_x000D_
</t>
  </si>
  <si>
    <t>AQ-RE-100825</t>
  </si>
  <si>
    <t xml:space="preserve">شقة طابق تسوية مساحة 129 م2 في محافظة العاصمة منطقة أبو نصير تنظيم سكني د_x000D_
</t>
  </si>
  <si>
    <t>AQ-RE-101225</t>
  </si>
  <si>
    <t>ام العقارب (4)</t>
  </si>
  <si>
    <t>148</t>
  </si>
  <si>
    <t>الشقة الغربية من الطابق الثاني عدا سطحها تنظيم سكن ج مساحتها 148 متر مربع</t>
  </si>
  <si>
    <t>AQ-RE-100635</t>
  </si>
  <si>
    <t>شقة طابق ارضي في محافظة العاصمة منطقة الذراع التنظيم سكني د بمساحة 219 م2</t>
  </si>
  <si>
    <t>AQ-RE-100869</t>
  </si>
  <si>
    <t>شقة طابق ارضي في محافظة العاصمة منطقة طبربور التنظيم سكني ب بمساحة 156 م2</t>
  </si>
  <si>
    <t>AQ-RE-100870</t>
  </si>
  <si>
    <t>بدران (118)</t>
  </si>
  <si>
    <t>طاب كراع (10)</t>
  </si>
  <si>
    <t>شفا بدران</t>
  </si>
  <si>
    <t>شقة في محافظة العاصمة منطقة شفا بدران التنظيم سكني ب  بمساحة 145 م2</t>
  </si>
  <si>
    <t>AQ-RE-101078</t>
  </si>
  <si>
    <t>188</t>
  </si>
  <si>
    <t xml:space="preserve">شقة طابق اول في محافظة العاصمة منطقة طبربور التنظيم سكني ب بمساحة 188 م2_x000D_
</t>
  </si>
  <si>
    <t>AQ-RE-100749</t>
  </si>
  <si>
    <t>179</t>
  </si>
  <si>
    <t>شقة طابق تسوية مساحة 179 م2 في محافظة العاصمة منطقة الياسمين  تنظيم سكني ج</t>
  </si>
  <si>
    <t>AQ-RE-100921</t>
  </si>
  <si>
    <t>اراضي ناعور (7)</t>
  </si>
  <si>
    <t>ناعور (162)</t>
  </si>
  <si>
    <t>وادي الكبرا (15)</t>
  </si>
  <si>
    <t>ناعور</t>
  </si>
  <si>
    <t>173</t>
  </si>
  <si>
    <t xml:space="preserve">شقة طابق ارضي مساحة 173 م2 في محافظة العاصمة منطقة ناعور تنظيم سكني ب_x000D_
</t>
  </si>
  <si>
    <t>AQ-RE-100886</t>
  </si>
  <si>
    <t>البيادر</t>
  </si>
  <si>
    <t>227</t>
  </si>
  <si>
    <t>شقة طابق ثاني في محافظة العاصمة منطقة البيادر التنظيم سكني ج بمساحة 227 م2</t>
  </si>
  <si>
    <t>AQ-RE-101095</t>
  </si>
  <si>
    <t xml:space="preserve">شقة طابق ارضي في طبربور منطقة المباله التنظيم سكني ب بمساحة 150 م2_x000D_
</t>
  </si>
  <si>
    <t>AQ-RE-100326</t>
  </si>
  <si>
    <t>مرج الاجرب (8)</t>
  </si>
  <si>
    <t xml:space="preserve">شقة طابق تسوية مساحة 168 م2 في محافظة العاصمة منطقة شفا بدران تنظيم سكني ب_x000D_
</t>
  </si>
  <si>
    <t>AQ-RE-100113</t>
  </si>
  <si>
    <t>المدورة (6)</t>
  </si>
  <si>
    <t>مرج الحمام</t>
  </si>
  <si>
    <t xml:space="preserve"> شقة طابق ثالث في مرج الحمام  - تنظيمها سكن ج - مساحتها 183 م2 - خلف مركز افاق التعليمي_x000D_
</t>
  </si>
  <si>
    <t>AQ-RE-100521</t>
  </si>
  <si>
    <t>دير غبار (16)</t>
  </si>
  <si>
    <t>دير غبار</t>
  </si>
  <si>
    <t>161.000</t>
  </si>
  <si>
    <t xml:space="preserve"> شقة طابق ثاني في بيادر وادي السير-السهل - تنظيمها سكن ب - مساحتها 161 م2 - قرب مسجد أبو عيشة وصيدلية حبة العلقم_x000D_
</t>
  </si>
  <si>
    <t>AQ-RE-100499</t>
  </si>
  <si>
    <t>186.000</t>
  </si>
  <si>
    <t xml:space="preserve"> شقة طابق ثالث في ضاحية الياسمين - تنظيمها سكن ج - مساحتها 186 م2 - شارع اياس بن ثعلبة - قرب دوار الخريطة_x000D_
</t>
  </si>
  <si>
    <t>AQ-RE-101001</t>
  </si>
  <si>
    <t>الجندويل (7)</t>
  </si>
  <si>
    <t>الجندويل</t>
  </si>
  <si>
    <t>شقة طابق ارضي في محافظة العاصمة منطقة الجندويل التنظيم سكني ب بمساحة 141 م2</t>
  </si>
  <si>
    <t>AQ-RE-101139</t>
  </si>
  <si>
    <t>135</t>
  </si>
  <si>
    <t xml:space="preserve">شقة طابق ارضي في محافظة العاصمة منطقة الجندويل التنظيم سكني ب بمساحة 135 م2_x000D_
</t>
  </si>
  <si>
    <t>AQ-RE-100565</t>
  </si>
  <si>
    <t>البنيات (163)</t>
  </si>
  <si>
    <t>اللفتاويه (2)</t>
  </si>
  <si>
    <t>البنيات</t>
  </si>
  <si>
    <t xml:space="preserve"> شقة طابق تسوية في منطقة البنيات - تنظيمها سكن ب - مساحتها 213 م2 - شارع سعيد بن المبارك - قرب مديرية الامن العام - بناء رقم 13 _x000D_
</t>
  </si>
  <si>
    <t>AQ-RE-101197</t>
  </si>
  <si>
    <t>مرج الحمام الغربي (57)</t>
  </si>
  <si>
    <t>187</t>
  </si>
  <si>
    <t xml:space="preserve">شقة طابق تسوية في محافظة العاصمة منطقة مرج الحمام التنظيم سكني ب بمساحة 187 م2_x000D_
</t>
  </si>
  <si>
    <t>AQ-RE-100028</t>
  </si>
  <si>
    <t xml:space="preserve"> شقة ارضية في منطقة تلاع العلي مساحتها 173 م2  قرب مداس النظم الحديثة للبنين_x000D_
</t>
  </si>
  <si>
    <t>AQ-RE-100404</t>
  </si>
  <si>
    <t>عرجان (1)</t>
  </si>
  <si>
    <t>عرجان</t>
  </si>
  <si>
    <t>330</t>
  </si>
  <si>
    <t xml:space="preserve">شقة طابق اول مساحة 330 م2 في محافظة العاصمة منطقة عرجان تنظيم سكني ب_x000D_
</t>
  </si>
  <si>
    <t>AQ-RE-100257</t>
  </si>
  <si>
    <t>خربة الصويفية (15)</t>
  </si>
  <si>
    <t>الصويفية</t>
  </si>
  <si>
    <t>181</t>
  </si>
  <si>
    <t>شقة طابق اول في الصويفية - تنظيمها سكن أ - مساحتها 181 م2 - شارع عبدالرحمن غريب - بناء رقم 14 ب</t>
  </si>
  <si>
    <t>AQ-RE-101008</t>
  </si>
  <si>
    <t>ام اذينه الشمالي (19)</t>
  </si>
  <si>
    <t>ام اذينة</t>
  </si>
  <si>
    <t>252</t>
  </si>
  <si>
    <t>شقة طابق تسوية في محافظة العاصمة منطقة ام اذينة التنظيم سكني ب بمساحة 252 م2</t>
  </si>
  <si>
    <t>AQ-RE-101058</t>
  </si>
  <si>
    <t>778.010</t>
  </si>
  <si>
    <t xml:space="preserve">عقار سكني يقع في محافظة العاصمة منطقة خريبة السوق وجاوا التنظيم السكني ج مساحة القطعة 778.01 م2_x000D_
</t>
  </si>
  <si>
    <t>AQ-RE-101235</t>
  </si>
  <si>
    <t>الطنيب (19)</t>
  </si>
  <si>
    <t>العيادات (4)</t>
  </si>
  <si>
    <t>الجيزة</t>
  </si>
  <si>
    <t>399</t>
  </si>
  <si>
    <t>الفيلا تتكون من طابق تسوية وارضي وطابق اول مع سطحها في محافظة العاصمة تنظيم سكن د بمساحة 399 متر مربع</t>
  </si>
  <si>
    <t>AQ-RE-100744</t>
  </si>
  <si>
    <t>ام زعروره (10)</t>
  </si>
  <si>
    <t>شارع مكة</t>
  </si>
  <si>
    <t>182</t>
  </si>
  <si>
    <t>AQ-RE-100092</t>
  </si>
  <si>
    <t>ام السماق الجنوبي (9)</t>
  </si>
  <si>
    <t>AQ-RE-100580</t>
  </si>
  <si>
    <t>البياض (5)</t>
  </si>
  <si>
    <t>AQ-RE-100546</t>
  </si>
  <si>
    <t>التلاع الشرقي (5)</t>
  </si>
  <si>
    <t>211.000</t>
  </si>
  <si>
    <t>AQ-RE-100456</t>
  </si>
  <si>
    <t>المستندة</t>
  </si>
  <si>
    <t>83.000</t>
  </si>
  <si>
    <t>AQ-RE-100463</t>
  </si>
  <si>
    <t>الرونق (12)</t>
  </si>
  <si>
    <t>الرونق</t>
  </si>
  <si>
    <t>191.000</t>
  </si>
  <si>
    <t>AQ-RE-100965</t>
  </si>
  <si>
    <t>286</t>
  </si>
  <si>
    <t>AQ-RE-100416</t>
  </si>
  <si>
    <t>التليل (4)</t>
  </si>
  <si>
    <t>137.000</t>
  </si>
  <si>
    <t>AQ-RE-101065</t>
  </si>
  <si>
    <t>AQ-RE-100964</t>
  </si>
  <si>
    <t>378</t>
  </si>
  <si>
    <t>AQ-RE-100209</t>
  </si>
  <si>
    <t>144</t>
  </si>
  <si>
    <t>AQ-RE-100231</t>
  </si>
  <si>
    <t>AQ-RE-100576</t>
  </si>
  <si>
    <t>160</t>
  </si>
  <si>
    <t>AQ-RE-100654</t>
  </si>
  <si>
    <t>جرينين الشرقي (4)</t>
  </si>
  <si>
    <t>ضاحية الاقصى</t>
  </si>
  <si>
    <t>AQ-RE-100513</t>
  </si>
  <si>
    <t>AQ-RE-100968</t>
  </si>
  <si>
    <t>AQ-RE-100581</t>
  </si>
  <si>
    <t>AQ-RE-100768</t>
  </si>
  <si>
    <t>ام صويوينه الجنوبي (42)</t>
  </si>
  <si>
    <t>AQ-RE-100253</t>
  </si>
  <si>
    <t>ام حليليفه (7)</t>
  </si>
  <si>
    <t>ضاحية الرشيد</t>
  </si>
  <si>
    <t>AQ-RE-101127</t>
  </si>
  <si>
    <t>العبدلية (137)</t>
  </si>
  <si>
    <t>المقرن الجنوبي (2)</t>
  </si>
  <si>
    <t>العبدلية</t>
  </si>
  <si>
    <t>750.140</t>
  </si>
  <si>
    <t>AQ-RE-100961</t>
  </si>
  <si>
    <t>323</t>
  </si>
  <si>
    <t>AQ-RE-101352</t>
  </si>
  <si>
    <t>AQ-RE-100657</t>
  </si>
  <si>
    <t>210</t>
  </si>
  <si>
    <t>AQ-RE-100025</t>
  </si>
  <si>
    <t>218</t>
  </si>
  <si>
    <t>AQ-RE-100073</t>
  </si>
  <si>
    <t>خلدا (14)</t>
  </si>
  <si>
    <t>خلدا</t>
  </si>
  <si>
    <t>AQ-RE-100569</t>
  </si>
  <si>
    <t>AQ-RE-100451</t>
  </si>
  <si>
    <t>تلعة عيال السليمان (3)</t>
  </si>
  <si>
    <t>182.000</t>
  </si>
  <si>
    <t>AQ-RE-101145</t>
  </si>
  <si>
    <t>المرصص (5)</t>
  </si>
  <si>
    <t>AQ-RE-101009</t>
  </si>
  <si>
    <t>ام قصير و المقابلين (143)</t>
  </si>
  <si>
    <t>ابو القعفور (1)</t>
  </si>
  <si>
    <t>المقابلين</t>
  </si>
  <si>
    <t>AQ-RE-100936</t>
  </si>
  <si>
    <t>الحجار (2)</t>
  </si>
  <si>
    <t>AQ-RE-101039</t>
  </si>
  <si>
    <t>178</t>
  </si>
  <si>
    <t>AQ-RE-100967</t>
  </si>
  <si>
    <t>AQ-RE-100621</t>
  </si>
  <si>
    <t>AQ-RE-100827</t>
  </si>
  <si>
    <t>AQ-RE-100128</t>
  </si>
  <si>
    <t>خربة مسلم (6)</t>
  </si>
  <si>
    <t>AQ-RE-100024</t>
  </si>
  <si>
    <t>الرهوانيه (4)</t>
  </si>
  <si>
    <t>206</t>
  </si>
  <si>
    <t>AQ-RE-100050</t>
  </si>
  <si>
    <t>سلطاني السلط (4)</t>
  </si>
  <si>
    <t>الكمالية</t>
  </si>
  <si>
    <t>302</t>
  </si>
  <si>
    <t>AQ-RE-100116</t>
  </si>
  <si>
    <t>ضاحية الحسين</t>
  </si>
  <si>
    <t>223</t>
  </si>
  <si>
    <t>AQ-RE-100273</t>
  </si>
  <si>
    <t>حنوطيا (3)</t>
  </si>
  <si>
    <t>AQ-RE-100270</t>
  </si>
  <si>
    <t>AQ-RE-100173</t>
  </si>
  <si>
    <t>مرج سكا (3)</t>
  </si>
  <si>
    <t>AQ-RE-100455</t>
  </si>
  <si>
    <t>الشميساني (13)</t>
  </si>
  <si>
    <t>شميساني</t>
  </si>
  <si>
    <t>386</t>
  </si>
  <si>
    <t>AQ-RE-100585</t>
  </si>
  <si>
    <t>صويلح</t>
  </si>
  <si>
    <t>AQ-RE-100414</t>
  </si>
  <si>
    <t>AQ-RE-100503</t>
  </si>
  <si>
    <t>AQ-RE-100582</t>
  </si>
  <si>
    <t>AQ-RE-100520</t>
  </si>
  <si>
    <t>العويلية (22)</t>
  </si>
  <si>
    <t>355.000</t>
  </si>
  <si>
    <t>AQ-RE-100940</t>
  </si>
  <si>
    <t>AQ-RE-100966</t>
  </si>
  <si>
    <t>AQ-RE-101251</t>
  </si>
  <si>
    <t>الوسيه (7)</t>
  </si>
  <si>
    <t>AQ-RE-100108</t>
  </si>
  <si>
    <t>مرج الحمام الشرقي (52)</t>
  </si>
  <si>
    <t>AQ-RE-100230</t>
  </si>
  <si>
    <t>AQ-RE-100192</t>
  </si>
  <si>
    <t>AQ-RE-100009</t>
  </si>
  <si>
    <t>تلعة نمر (2)</t>
  </si>
  <si>
    <t>185</t>
  </si>
  <si>
    <t>AQ-RE-100566</t>
  </si>
  <si>
    <t>AQ-RE-100571</t>
  </si>
  <si>
    <t>AQ-RE-100545</t>
  </si>
  <si>
    <t>247.000</t>
  </si>
  <si>
    <t>AQ-RE-100491</t>
  </si>
  <si>
    <t>202</t>
  </si>
  <si>
    <t>AQ-RE-100408</t>
  </si>
  <si>
    <t>AQ-RE-100623</t>
  </si>
  <si>
    <t>133</t>
  </si>
  <si>
    <t>AQ-RE-100507</t>
  </si>
  <si>
    <t>AQ-RE-100684</t>
  </si>
  <si>
    <t>ام شجرات (8)</t>
  </si>
  <si>
    <t>AQ-RE-100935</t>
  </si>
  <si>
    <t>AQ-RE-100271</t>
  </si>
  <si>
    <t>العمقة (1)</t>
  </si>
  <si>
    <t>AQ-RE-100383</t>
  </si>
  <si>
    <t>AQ-RE-101257</t>
  </si>
  <si>
    <t>قطنة الجنوبي (3)</t>
  </si>
  <si>
    <t>AQ-RE-100161</t>
  </si>
  <si>
    <t>مرج الحمام الوسطاني (54)</t>
  </si>
  <si>
    <t>AQ-RE-100822</t>
  </si>
  <si>
    <t>AQ-RE-101487</t>
  </si>
  <si>
    <t>AQ-RE-100030</t>
  </si>
  <si>
    <t>ام السماق (8)</t>
  </si>
  <si>
    <t>230</t>
  </si>
  <si>
    <t>AQ-RE-100229</t>
  </si>
  <si>
    <t>AQ-RE-100254</t>
  </si>
  <si>
    <t>ام السماق الشمالي (4)</t>
  </si>
  <si>
    <t>ام السماق</t>
  </si>
  <si>
    <t>AQ-RE-100346</t>
  </si>
  <si>
    <t>AQ-RE-100315</t>
  </si>
  <si>
    <t>AQ-RE-100178</t>
  </si>
  <si>
    <t>171</t>
  </si>
  <si>
    <t>AQ-RE-100501</t>
  </si>
  <si>
    <t>AQ-RE-100583</t>
  </si>
  <si>
    <t>AQ-RE-100508</t>
  </si>
  <si>
    <t>AQ-RE-100510</t>
  </si>
  <si>
    <t>AQ-RE-100544</t>
  </si>
  <si>
    <t>168.000</t>
  </si>
  <si>
    <t>AQ-RE-100578</t>
  </si>
  <si>
    <t>AQ-RE-100810</t>
  </si>
  <si>
    <t>الذراع الوسطاني (39)</t>
  </si>
  <si>
    <t>AQ-RE-100442</t>
  </si>
  <si>
    <t>AQ-RE-100543</t>
  </si>
  <si>
    <t>قطنة الشمالي (2)</t>
  </si>
  <si>
    <t>المدينة الرياضية</t>
  </si>
  <si>
    <t>174.000</t>
  </si>
  <si>
    <t>AQ-RE-100564</t>
  </si>
  <si>
    <t>AQ-RE-100856</t>
  </si>
  <si>
    <t>خربة سكا (1)</t>
  </si>
  <si>
    <t>ضاحية النخيل</t>
  </si>
  <si>
    <t>189</t>
  </si>
  <si>
    <t>AQ-RE-101081</t>
  </si>
  <si>
    <t>سالم</t>
  </si>
  <si>
    <t>AQ-RE-100511</t>
  </si>
  <si>
    <t>AQ-RE-100998</t>
  </si>
  <si>
    <t>191</t>
  </si>
  <si>
    <t>AQ-RE-101038</t>
  </si>
  <si>
    <t>68</t>
  </si>
  <si>
    <t>AQ-RE-100433</t>
  </si>
  <si>
    <t>AQ-RE-100211</t>
  </si>
  <si>
    <t>AQ-RE-100471</t>
  </si>
  <si>
    <t>AQ-RE-100857</t>
  </si>
  <si>
    <t>195</t>
  </si>
  <si>
    <t>AQ-RE-100208</t>
  </si>
  <si>
    <t>AQ-RE-100181</t>
  </si>
  <si>
    <t>ابو العوف (1)</t>
  </si>
  <si>
    <t>AQ-RE-100224</t>
  </si>
  <si>
    <t>61</t>
  </si>
  <si>
    <t>AQ-RE-100200</t>
  </si>
  <si>
    <t>المتربه (8)</t>
  </si>
  <si>
    <t>AQ-RE-100228</t>
  </si>
  <si>
    <t>AQ-RE-100309</t>
  </si>
  <si>
    <t>الحويه (5)</t>
  </si>
  <si>
    <t>AQ-RE-100574</t>
  </si>
  <si>
    <t>AQ-RE-100468</t>
  </si>
  <si>
    <t>القصبات (3)</t>
  </si>
  <si>
    <t>159.000</t>
  </si>
  <si>
    <t>AQ-RE-100573</t>
  </si>
  <si>
    <t>AQ-RE-100490</t>
  </si>
  <si>
    <t>AQ-RE-100568</t>
  </si>
  <si>
    <t>AQ-RE-100482</t>
  </si>
  <si>
    <t>AQ-RE-101056</t>
  </si>
  <si>
    <t>الجويدة (134)</t>
  </si>
  <si>
    <t>الشحيمينيات (3)</t>
  </si>
  <si>
    <t>الجويدة</t>
  </si>
  <si>
    <t>AQ-RE-100969</t>
  </si>
  <si>
    <t>AQ-RE-100100</t>
  </si>
  <si>
    <t>194</t>
  </si>
  <si>
    <t>AQ-RE-100090</t>
  </si>
  <si>
    <t>176</t>
  </si>
  <si>
    <t>AQ-RE-100836</t>
  </si>
  <si>
    <t>ذهيبه (6)</t>
  </si>
  <si>
    <t>AQ-RE-101012</t>
  </si>
  <si>
    <t>المعادي (11)</t>
  </si>
  <si>
    <t>104</t>
  </si>
  <si>
    <t>AQ-RE-100275</t>
  </si>
  <si>
    <t>الطهطور الشمالي (7)</t>
  </si>
  <si>
    <t>144.000</t>
  </si>
  <si>
    <t>AQ-RE-100022</t>
  </si>
  <si>
    <t>166</t>
  </si>
  <si>
    <t>AQ-RE-100461</t>
  </si>
  <si>
    <t>234.000</t>
  </si>
  <si>
    <t>AQ-RE-100465</t>
  </si>
  <si>
    <t>AQ-RE-100495</t>
  </si>
  <si>
    <t>AQ-RE-100838</t>
  </si>
  <si>
    <t>AQ-RE-100018</t>
  </si>
  <si>
    <t>362</t>
  </si>
  <si>
    <t>AQ-RE-100536</t>
  </si>
  <si>
    <t>شقة دوبلكس</t>
  </si>
  <si>
    <t xml:space="preserve"> شقة طابق ثاني في منطقة تلاع العلي مساحتها 95 م2 قرب مسجد سيد المرسلين - شارع حافظ عبداللطيف عامر _x000D_
</t>
  </si>
  <si>
    <t>AQ-RE-100010</t>
  </si>
  <si>
    <t>215</t>
  </si>
  <si>
    <t>AQ-RE-100274</t>
  </si>
  <si>
    <t>AQ-RE-100693</t>
  </si>
  <si>
    <t>307</t>
  </si>
  <si>
    <t>AQ-BLD-100596</t>
  </si>
  <si>
    <t>926</t>
  </si>
  <si>
    <t>AQ-BLD-100409</t>
  </si>
  <si>
    <t>1276</t>
  </si>
  <si>
    <t>AQ-BLD-100946</t>
  </si>
  <si>
    <t>مغاير مهنا الغربي (2)</t>
  </si>
  <si>
    <t>364.560</t>
  </si>
  <si>
    <t>عقار سكني في محافظة العاصمة منطقة الموقر التنظيم سكني ج مساحة الأرض 364.560 مساحة البناء الاجمالية 110 م2</t>
  </si>
  <si>
    <t>AQ-BLD-100162</t>
  </si>
  <si>
    <t>جبل الأشرفية</t>
  </si>
  <si>
    <t xml:space="preserve">عقار سكني في محافظة العاصمة منطقة الاشرفية - طلوع المصدار تنظيم سكني د مكون من طابقين ارضي وأول مساحة الارض 188 م2 ومساحة البناء الاجمالية 248 م2 وعبارة عن شقق عدد 3 ويقع قرب مفروشات العبسي - طلوع المصدار _x000D_
</t>
  </si>
  <si>
    <t>AQ-BLD-101427</t>
  </si>
  <si>
    <t>عقار سكني في محافظة العاصمة منطقة القويسمة -  ام نوارة تنظيم سكن بأحكام خاصة مساحة الارض 131 م2 ومساحة البناء الاجمالية 150م2 وعبارة عن طابقين كل طابق 75 م2 قرب مدرسة اسيا</t>
  </si>
  <si>
    <t>AQ-BLD-101060</t>
  </si>
  <si>
    <t>390.79</t>
  </si>
  <si>
    <t xml:space="preserve">عقار قيد الانشاء (اساسات فقط) في محافظة العاصمة منطقة ماركا التنظيم سكني د مساحة الأرض 390 م2_x000D_
</t>
  </si>
  <si>
    <t>AQ-BLD-100472</t>
  </si>
  <si>
    <t>البيضاء (133)</t>
  </si>
  <si>
    <t>الحميدين (3)</t>
  </si>
  <si>
    <t>البيضاء</t>
  </si>
  <si>
    <t>530</t>
  </si>
  <si>
    <t xml:space="preserve">عقار سكني في محافظة العاصمة منطقة احد تنظيم سكني ج مكون من طابقين تسوية وارضي مقام على ارض مساحتها 530 م2 ومساحة البناء الاجمالية 400 م2 ويقع في منطقة احد - البيضاء - شمال شرق مسجد مصيبيح المساعيد_x000D_
</t>
  </si>
  <si>
    <t>AQ-BLD-100563</t>
  </si>
  <si>
    <t>رجم الشامي (147)</t>
  </si>
  <si>
    <t>الحيارات (4)</t>
  </si>
  <si>
    <t>761.610</t>
  </si>
  <si>
    <t xml:space="preserve">عقار سكني في محافظة العاصمة منطقة الموقر - رجم الشامي تنظيم سكني ب مكون من 3 طوابق ارضي وأول وثاني مقام على ارض مساحتها 762 م2 ومساحة البناء الاجمالية 780 م2 ويقع في منطقة الموقر - رجم الشامي - قرب مسجد الصديق ومدرسة رجم الشامي الجنوبي الأساسية_x000D_
</t>
  </si>
  <si>
    <t>AQ-BLD-100531</t>
  </si>
  <si>
    <t>عقار سكني في محافظة العاصمة منطقة القويسمة التنظيم سكني أ مساحة الأرض 762 مساحة البناء الاجمالية 432 م2</t>
  </si>
  <si>
    <t>AQ-BLD-101018</t>
  </si>
  <si>
    <t>اللبن (26)</t>
  </si>
  <si>
    <t>البلد (9)</t>
  </si>
  <si>
    <t>اللبّن</t>
  </si>
  <si>
    <t>805.580</t>
  </si>
  <si>
    <t>عقار سكني في محافظة العاصمة منطقة اللبّن التنظيم سكني ج مساحة الأرض 805.580 مساحة البناء الاجمالية 357 م2</t>
  </si>
  <si>
    <t>AQ-BLD-100839</t>
  </si>
  <si>
    <t>506</t>
  </si>
  <si>
    <t>عقار سكني في محافظة العاصمة منطقة خربة السوق تنظيم سكني ج مكون من 4 طوابق تسوية أولى وتسوية ثانية وارضي وأول - مساحة الارض 506 م2 ومساحة البناء الاجمالية 650 م2 قرب مركز امن الجويدة</t>
  </si>
  <si>
    <t>AQ-BLD-100095</t>
  </si>
  <si>
    <t>سحاب (150)</t>
  </si>
  <si>
    <t>سلبود (5)</t>
  </si>
  <si>
    <t>1176</t>
  </si>
  <si>
    <t xml:space="preserve">عقار سكني قيد الانشاء في محافظة العاصمة منطقة سحاب - سلبود تنظيم سكني ب مكون من 3 طوابق ارضي وأول وثاني مقام على ارض مساحتها 1176 م2 ومساحة البناء الاجمالية 907 م2 ويقع في منطقة سحاب - جنوب ستاد سلبود الرياضي - مقابل سوبر ماركت ابو أسامة_x000D_
</t>
  </si>
  <si>
    <t>AQ-BLD-101059</t>
  </si>
  <si>
    <t>اليادودة (142)</t>
  </si>
  <si>
    <t>الفريط (11)</t>
  </si>
  <si>
    <t>اليادودة</t>
  </si>
  <si>
    <t>4243.16</t>
  </si>
  <si>
    <t xml:space="preserve">عقار سكني في محافظة العاصمة منطقة اليادودة التنظيم سكني ج مساحة الأرض 4243.16 مساحة البناء الاجمالية 966 م2_x000D_
</t>
  </si>
  <si>
    <t>OS-BLD-101417</t>
  </si>
  <si>
    <t>AQ-BLD-100754</t>
  </si>
  <si>
    <t>974</t>
  </si>
  <si>
    <t>AQ-BLD-100741</t>
  </si>
  <si>
    <t>ابو صوانه (4)</t>
  </si>
  <si>
    <t>891</t>
  </si>
  <si>
    <t>AQ-BLD-100877</t>
  </si>
  <si>
    <t>1579</t>
  </si>
  <si>
    <t>AQ-BLD-100614</t>
  </si>
  <si>
    <t>236.36</t>
  </si>
  <si>
    <t>AQ-BLD-100164</t>
  </si>
  <si>
    <t>زبود و سيل حسبان (164)</t>
  </si>
  <si>
    <t>مغاريب  حسبان (9)</t>
  </si>
  <si>
    <t>501.940</t>
  </si>
  <si>
    <t>AQ-BLD-100068</t>
  </si>
  <si>
    <t>عين ام جوزه (3)</t>
  </si>
  <si>
    <t>787</t>
  </si>
  <si>
    <t>AQ-BLD-100756</t>
  </si>
  <si>
    <t>555</t>
  </si>
  <si>
    <t>AQ-BLD-100141</t>
  </si>
  <si>
    <t>770.6</t>
  </si>
  <si>
    <t>AQ-BLD-100129</t>
  </si>
  <si>
    <t>525</t>
  </si>
  <si>
    <t>AQ-BLD-101367</t>
  </si>
  <si>
    <t>المقرن (2)</t>
  </si>
  <si>
    <t>802</t>
  </si>
  <si>
    <t>AQ-BLD-101413</t>
  </si>
  <si>
    <t>ام رمانه (36)</t>
  </si>
  <si>
    <t>القرية (7)</t>
  </si>
  <si>
    <t>أم رمانة</t>
  </si>
  <si>
    <t>491.390</t>
  </si>
  <si>
    <t>AQ-BLD-100483</t>
  </si>
  <si>
    <t>عقار صناعي</t>
  </si>
  <si>
    <t>4865.350</t>
  </si>
  <si>
    <t>AQ-BLD-100556</t>
  </si>
  <si>
    <t>862</t>
  </si>
  <si>
    <t>AQ-BLD-100558</t>
  </si>
  <si>
    <t>881</t>
  </si>
  <si>
    <t>AQ-BLD-100561</t>
  </si>
  <si>
    <t>1010</t>
  </si>
  <si>
    <t>AQ-BLD-100559</t>
  </si>
  <si>
    <t>1327</t>
  </si>
  <si>
    <t>AQ-BLD-100475</t>
  </si>
  <si>
    <t>7075.390</t>
  </si>
  <si>
    <t>AQ-BLD-100147</t>
  </si>
  <si>
    <t>القسطل (22)</t>
  </si>
  <si>
    <t>شرقي الخط (1)</t>
  </si>
  <si>
    <t>القسطل</t>
  </si>
  <si>
    <t>9213.77</t>
  </si>
  <si>
    <t>AQ-BLD-100557</t>
  </si>
  <si>
    <t>AQ-BLD-100411</t>
  </si>
  <si>
    <t>النقيرة (141)</t>
  </si>
  <si>
    <t>اليتيمه (10)</t>
  </si>
  <si>
    <t>النقيرة</t>
  </si>
  <si>
    <t>39658</t>
  </si>
  <si>
    <t>AQ-BLD-100197</t>
  </si>
  <si>
    <t>2388</t>
  </si>
  <si>
    <t>AQ-BLD-100016</t>
  </si>
  <si>
    <t>السهل (13)</t>
  </si>
  <si>
    <t>1153</t>
  </si>
  <si>
    <t>OS-BLD-101467</t>
  </si>
  <si>
    <t>الرطيبة (6)</t>
  </si>
  <si>
    <t>1288</t>
  </si>
  <si>
    <t>فيلا على قطعتين أرض أرقام 441 + 444 حوض الرطيبة_x000D_
مساحة الأرض : 1288 متر_x000D_
مساحة البناء الاجمالية : 1025 متر_x000D_
يتوفر مسبح داخلي + ساونا_x000D_
_x000D_
التنظيم سكن د _x000D_
اليادودة - قرب ملعب خريبة السوق</t>
  </si>
  <si>
    <t>AQ-BLD-100430</t>
  </si>
  <si>
    <t>907</t>
  </si>
  <si>
    <t>AQ-BLD-100190</t>
  </si>
  <si>
    <t>رجم الخرابشه (12)</t>
  </si>
  <si>
    <t>1021</t>
  </si>
  <si>
    <t>AQ-BLD-100429</t>
  </si>
  <si>
    <t>عرقوب خلدا (13)</t>
  </si>
  <si>
    <t>2111</t>
  </si>
  <si>
    <t>AQ-BLD-100407</t>
  </si>
  <si>
    <t>الكرسي (2)</t>
  </si>
  <si>
    <t>الكرسي</t>
  </si>
  <si>
    <t>983.34</t>
  </si>
  <si>
    <t>AQ-BLD-100872</t>
  </si>
  <si>
    <t>1007.17</t>
  </si>
  <si>
    <t>AQ-BLD-101063</t>
  </si>
  <si>
    <t>644.61</t>
  </si>
  <si>
    <t>AQ-BLD-100762</t>
  </si>
  <si>
    <t>دابوق (121)</t>
  </si>
  <si>
    <t>حزام غره (2)</t>
  </si>
  <si>
    <t>دابوق</t>
  </si>
  <si>
    <t>7619</t>
  </si>
  <si>
    <t>AQ-BLD-100876</t>
  </si>
  <si>
    <t>499.580</t>
  </si>
  <si>
    <t>AQ-BLD-101062</t>
  </si>
  <si>
    <t>643.55</t>
  </si>
  <si>
    <t>1003.66</t>
  </si>
  <si>
    <t>AQ-LND-100413</t>
  </si>
  <si>
    <t>حنو السكه (7)</t>
  </si>
  <si>
    <t>771</t>
  </si>
  <si>
    <t xml:space="preserve">محافظة العاصمة - اراضي جنوب عمان - قرية اللبن - حوض حنو السكة 7 - مساحتها - 771 م2 منظمة سكن ب_x000D_
</t>
  </si>
  <si>
    <t>AQ-LND-100476</t>
  </si>
  <si>
    <t>754</t>
  </si>
  <si>
    <t xml:space="preserve">محافظة العاصمة - اراضي جنوب عمان - قرية اللبن - حوض حنو السكة 7 - مساحتها - 754 م2 منظمة سكن ب_x000D_
</t>
  </si>
  <si>
    <t>AQ-LND-101037</t>
  </si>
  <si>
    <t>المدورة (9)</t>
  </si>
  <si>
    <t>البقعه</t>
  </si>
  <si>
    <t>501</t>
  </si>
  <si>
    <t xml:space="preserve">قطعة ارض في محافظة العاصمة منطقة البقعة التنظيم سكني ج مساحة الأرض 501 م2_x000D_
</t>
  </si>
  <si>
    <t>AQ-LND-100419</t>
  </si>
  <si>
    <t xml:space="preserve">محافظة العاصمة - اراضي جنوب عمان - قرية اللبن - حوض حنو السكة 7 - مساحتها - 737 م2 منظمة سكن ب_x000D_
</t>
  </si>
  <si>
    <t>AQ-LND-100421</t>
  </si>
  <si>
    <t>841</t>
  </si>
  <si>
    <t xml:space="preserve">محافظة العاصمة - اراضي جنوب عمان - قرية اللبن - حوض حنو السكة 7 - مساحتها - 841 م2 منظمة سكن ب_x000D_
</t>
  </si>
  <si>
    <t>AQ-LND-100417</t>
  </si>
  <si>
    <t>850</t>
  </si>
  <si>
    <t xml:space="preserve">محافظة العاصمة - اراضي جنوب عمان - قرية اللبن - حوض حنو السكة 7 - مساحتها - 850 م2 منظمة سكن ب_x000D_
</t>
  </si>
  <si>
    <t>AQ-LND-101032</t>
  </si>
  <si>
    <t>625</t>
  </si>
  <si>
    <t>قطعة ارض في محافظة العاصمة منطقة ابو نصير التنظيم سكني زراعي مساحة الأرض 625 م2</t>
  </si>
  <si>
    <t>AQ-LND-100425</t>
  </si>
  <si>
    <t>884</t>
  </si>
  <si>
    <t xml:space="preserve">محافظة العاصمة - اراضي جنوب عمان - قرية اللبن - حوض حنو السكة 7 - مساحتها - 884 م2 منظمة سكن ب_x000D_
</t>
  </si>
  <si>
    <t>AQ-LND-101093</t>
  </si>
  <si>
    <t>حنو ربه (1)</t>
  </si>
  <si>
    <t>900</t>
  </si>
  <si>
    <t>قطعة ارض شرق شارع سحاب الرئيسي تنظيمها سكن ب وخالية من الابنية والانشاءات وتصلح للبناء ويوجد كافة الخدمات</t>
  </si>
  <si>
    <t>AQ-LND-100452</t>
  </si>
  <si>
    <t>576.360</t>
  </si>
  <si>
    <t xml:space="preserve">قطعة ارض  مساحة 576.360 م2 في محافظة العاصمة منطقة ام نوارة تنظيم سكني ج_x000D_
</t>
  </si>
  <si>
    <t>AQ-LND-101291</t>
  </si>
  <si>
    <t>الغزلانيات (10)</t>
  </si>
  <si>
    <t>675</t>
  </si>
  <si>
    <t xml:space="preserve">قطعة ارض في محافظة العاصمة منطقة القسطل التنظيم سكني ب مساحة الأرض 675 م2_x000D_
</t>
  </si>
  <si>
    <t>AQ-LND-101288</t>
  </si>
  <si>
    <t>AQ-LND-101290</t>
  </si>
  <si>
    <t>AQ-LND-101287</t>
  </si>
  <si>
    <t>AQ-LND-101289</t>
  </si>
  <si>
    <t>AQ-LND-101294</t>
  </si>
  <si>
    <t>769</t>
  </si>
  <si>
    <t xml:space="preserve">قطعة ارض في محافظة العاصمة منطقة القسطل التنظيم سكني ب مساحة الأرض 769 م2_x000D_
</t>
  </si>
  <si>
    <t>AQ-LND-101293</t>
  </si>
  <si>
    <t>AQ-LND-101295</t>
  </si>
  <si>
    <t>AQ-LND-101292</t>
  </si>
  <si>
    <t>AQ-LND-101296</t>
  </si>
  <si>
    <t>AQ-LND-100103</t>
  </si>
  <si>
    <t>محافظة العاصمة - أراضي شمال عمان - قرية ابو نصير_x000D_
_x000D_
قطعة ارض خالية من الابنية والانشاءات مساحتها - 802 م2 تنظيم سكن ب _x000D_
الموقع: أبو نصير - جنوب مدرسة أبو نصير الثانوية للبنات - قرب مسجد أبو نصير</t>
  </si>
  <si>
    <t>AQ-LND-101301</t>
  </si>
  <si>
    <t>الحاوي (2)</t>
  </si>
  <si>
    <t>977</t>
  </si>
  <si>
    <t xml:space="preserve">قطعة ارض في محافظة العاصمة منطقة عين الباشا التنظيم سكني سكن خاص  مساحة الأرض 977  م2_x000D_
</t>
  </si>
  <si>
    <t>AQ-LND-100424</t>
  </si>
  <si>
    <t>1322</t>
  </si>
  <si>
    <t xml:space="preserve">محافظة العاصمة - اراضي جنوب عمان - قرية القويسمة - حوض الوسية 7 - مساحتها -1,322 م2 منظمة سكن د_x000D_
</t>
  </si>
  <si>
    <t>AQ-LND-101285</t>
  </si>
  <si>
    <t>ام العمد (34)</t>
  </si>
  <si>
    <t>البركه (4)</t>
  </si>
  <si>
    <t>أم العمد</t>
  </si>
  <si>
    <t>1701</t>
  </si>
  <si>
    <t xml:space="preserve">قطعة ارض في محافظة العاصمة منطقة أم العمد التنظيم سكني ريفي مساحة الأرض 1701 م2_x000D_
</t>
  </si>
  <si>
    <t>AQ-LND-101283</t>
  </si>
  <si>
    <t>1700</t>
  </si>
  <si>
    <t xml:space="preserve">قطعة ارض في محافظة العاصمة منطقة ام العمد التنظيم سكني ريفي مساحة الأرض 1700 م2_x000D_
</t>
  </si>
  <si>
    <t>AQ-LND-101277</t>
  </si>
  <si>
    <t xml:space="preserve">قطعة ارض في محافظة العاصمة منطقة ام العمد التنظيم سكني ريفي مساحة الأرض 1701 م2_x000D_
</t>
  </si>
  <si>
    <t>AQ-LND-101280</t>
  </si>
  <si>
    <t>AQ-LND-101275</t>
  </si>
  <si>
    <t>AQ-LND-101281</t>
  </si>
  <si>
    <t>AQ-LND-101273</t>
  </si>
  <si>
    <t>1705</t>
  </si>
  <si>
    <t xml:space="preserve">قطعة ارض في محافظة العاصمة منطقة ام العمد التنظيم سكني ريفي مساحة الأرض 1705 م2_x000D_
</t>
  </si>
  <si>
    <t>AQ-LND-101286</t>
  </si>
  <si>
    <t>1702</t>
  </si>
  <si>
    <t xml:space="preserve">قطعة ارض في محافظة العاصمة منطقة أم العمد التنظيم سكني ريفي مساحة الأرض 1702 م2_x000D_
</t>
  </si>
  <si>
    <t>AQ-LND-101284</t>
  </si>
  <si>
    <t>AQ-LND-101278</t>
  </si>
  <si>
    <t xml:space="preserve">قطعة ارض في محافظة العاصمة منطقة أم العمد التنظيم سكني ريفي مساحة الأرض 1700 م2_x000D_
</t>
  </si>
  <si>
    <t>AQ-LND-101271</t>
  </si>
  <si>
    <t>AQ-LND-101279</t>
  </si>
  <si>
    <t>AQ-LND-101272</t>
  </si>
  <si>
    <t>AQ-LND-101274</t>
  </si>
  <si>
    <t>AQ-LND-101276</t>
  </si>
  <si>
    <t>1707</t>
  </si>
  <si>
    <t xml:space="preserve">قطعة ارض في محافظة العاصمة منطقة ام العمد التنظيم سكني ريفي مساحة الأرض 1707 م2_x000D_
</t>
  </si>
  <si>
    <t>AQ-LND-101300</t>
  </si>
  <si>
    <t>عيون الذيب (4)</t>
  </si>
  <si>
    <t xml:space="preserve">قطعة ارض في محافظة العاصمة منطقة شفا بدران التنظيم سكني ب مساحة الأرض 762 م2_x000D_
</t>
  </si>
  <si>
    <t>AQ-LND-101298</t>
  </si>
  <si>
    <t>الظهير (19)</t>
  </si>
  <si>
    <t>الظهير</t>
  </si>
  <si>
    <t>1090</t>
  </si>
  <si>
    <t xml:space="preserve">قطعة ارض في محافظة العاصمة منطقة الظهير التنظيم متعدد الاستعمال مساحة الأرض 1090 م2_x000D_
</t>
  </si>
  <si>
    <t>OS-LND-101337</t>
  </si>
  <si>
    <t>الزيتونه (16)</t>
  </si>
  <si>
    <t>الزباير الشرقي (1)</t>
  </si>
  <si>
    <t>الزيتونة</t>
  </si>
  <si>
    <t>30083</t>
  </si>
  <si>
    <t>قطعة أرض في محافظة العاصمة منطقة الزيتونة تنظيم زراعي - خارج التنظيم بمساحة 30,083 متر مربع</t>
  </si>
  <si>
    <t>AQ-LND-101282</t>
  </si>
  <si>
    <t>AQ-LND-100794</t>
  </si>
  <si>
    <t>بركه (4)</t>
  </si>
  <si>
    <t>966</t>
  </si>
  <si>
    <t>AQ-LND-101269</t>
  </si>
  <si>
    <t>ذهيبه الغربية (146)</t>
  </si>
  <si>
    <t>خربة الذهيبه الجنوبية (2)</t>
  </si>
  <si>
    <t>الذهيبة</t>
  </si>
  <si>
    <t>20376.640</t>
  </si>
  <si>
    <t>AQ-LND-101051</t>
  </si>
  <si>
    <t>مزرعة السامك (165)</t>
  </si>
  <si>
    <t>برازين السامك (3)</t>
  </si>
  <si>
    <t>ام البساتين</t>
  </si>
  <si>
    <t>1801</t>
  </si>
  <si>
    <t>AQ-LND-100951</t>
  </si>
  <si>
    <t>اللويبدة الوسطاني (14)</t>
  </si>
  <si>
    <t>العبدلي</t>
  </si>
  <si>
    <t>2359</t>
  </si>
  <si>
    <t>2374</t>
  </si>
  <si>
    <t>AQ-LND-101386</t>
  </si>
  <si>
    <t>الرمان (114)</t>
  </si>
  <si>
    <t>ام الفول (20)</t>
  </si>
  <si>
    <t>5009.9</t>
  </si>
  <si>
    <t>AQ-LND-101434</t>
  </si>
  <si>
    <t>السليحي (115)</t>
  </si>
  <si>
    <t>ام تل (3)</t>
  </si>
  <si>
    <t>1000</t>
  </si>
  <si>
    <t>AQ-LND-100952</t>
  </si>
  <si>
    <t>AQ-LND-101302</t>
  </si>
  <si>
    <t>عرقوب النعام (12)</t>
  </si>
  <si>
    <t>492.270</t>
  </si>
  <si>
    <t>AQ-LND-101384</t>
  </si>
  <si>
    <t>4777.370</t>
  </si>
  <si>
    <t>AQ-LND-101385</t>
  </si>
  <si>
    <t>4771.630</t>
  </si>
  <si>
    <t>AQ-RE-100186</t>
  </si>
  <si>
    <t>مكتب</t>
  </si>
  <si>
    <t>سلطاني الجبيهه (9)</t>
  </si>
  <si>
    <t>شارع المدينة</t>
  </si>
  <si>
    <t>مكتب في شارع المدينة المنورة - قرب مستشفى ابن الهيثم وهو المكتب رقم 9 في الطابق الثالث من مجمع الباسم 1 ومساحته تبلغ 116 م2</t>
  </si>
  <si>
    <t>AQ-RE-101003</t>
  </si>
  <si>
    <t>ام تينه (9)</t>
  </si>
  <si>
    <t>725</t>
  </si>
  <si>
    <t xml:space="preserve">مكتب في محافظة العاصمة منطقة صويلح التنظيم تجاري محلي سكن ب مساحة 725 م2_x000D_
</t>
  </si>
  <si>
    <t>AQ-RE-101299</t>
  </si>
  <si>
    <t>5</t>
  </si>
  <si>
    <t>AQ-RE-100040</t>
  </si>
  <si>
    <t>AQ-RE-100036</t>
  </si>
  <si>
    <t>AQ-RE-100038</t>
  </si>
  <si>
    <t>AQ-RE-100041</t>
  </si>
  <si>
    <t>AQ-RE-100043</t>
  </si>
  <si>
    <t>354</t>
  </si>
  <si>
    <t>AQ-RE-100497</t>
  </si>
  <si>
    <t>وحدة صناعية</t>
  </si>
  <si>
    <t>1889</t>
  </si>
  <si>
    <t>AQ-RE-101330</t>
  </si>
  <si>
    <t>محافظة العقبة</t>
  </si>
  <si>
    <t>اراضي العقبه (34)</t>
  </si>
  <si>
    <t>العقبة (637)</t>
  </si>
  <si>
    <t>الرمال (17)</t>
  </si>
  <si>
    <t>الرمال</t>
  </si>
  <si>
    <t>58</t>
  </si>
  <si>
    <t xml:space="preserve">شقة طابق ثاني في محافظة العقبة منطقة الرمال التنظيم سكني بمساحة 58 م2_x000D_
</t>
  </si>
  <si>
    <t>AQ-RE-100637</t>
  </si>
  <si>
    <t>السلام (28)</t>
  </si>
  <si>
    <t>السكنية 5</t>
  </si>
  <si>
    <t>64</t>
  </si>
  <si>
    <t>شقة طابق اول في محافظة العقبة منطقة السكنية الخامسة التنظيم سكني سكن خاص  بمساحة 64 م2</t>
  </si>
  <si>
    <t>AQ-RE-100093</t>
  </si>
  <si>
    <t>الاتحاد (31)</t>
  </si>
  <si>
    <t>السكنية 3</t>
  </si>
  <si>
    <t xml:space="preserve">شقة طابق ثاني مساحة 93 م2 في محافظة العقبة منطقة الشامية تنظيم سكني تطوير حضري </t>
  </si>
  <si>
    <t>AQ-RE-100368</t>
  </si>
  <si>
    <t>الشامية</t>
  </si>
  <si>
    <t>شقة طابق تسوية في محافظة العقبة منطقة الشامية التنظيم سكني تطوير حضري _x000D_
 بمساحة 93 م2</t>
  </si>
  <si>
    <t>AQ-RE-100650</t>
  </si>
  <si>
    <t xml:space="preserve">شقة طابق ثاني مساحة 93 م2 في محافظة العقبة منطقة الشامية تنظيم سكني تطوير حضري_x000D_
</t>
  </si>
  <si>
    <t>AQ-RE-100640</t>
  </si>
  <si>
    <t>شقة طابق اول مساحة 109 م2 في محافظة العقبة منطقة الشامية تنظيم سكني تطوير حضري</t>
  </si>
  <si>
    <t>AQ-RE-101073</t>
  </si>
  <si>
    <t>وادي الحصاني (24)</t>
  </si>
  <si>
    <t>السكنية 9</t>
  </si>
  <si>
    <t>92</t>
  </si>
  <si>
    <t>AQ-RE-101089</t>
  </si>
  <si>
    <t>ام نصيلة (23)</t>
  </si>
  <si>
    <t>78</t>
  </si>
  <si>
    <t>AQ-BLD-100078</t>
  </si>
  <si>
    <t>الساحل الجنوبي (641)</t>
  </si>
  <si>
    <t>راس اليمنيه (2)</t>
  </si>
  <si>
    <t>656</t>
  </si>
  <si>
    <t>AQ-BLD-100058</t>
  </si>
  <si>
    <t>585</t>
  </si>
  <si>
    <t>AQ-BLD-100054</t>
  </si>
  <si>
    <t>619</t>
  </si>
  <si>
    <t>AQ-BLD-100071</t>
  </si>
  <si>
    <t>867</t>
  </si>
  <si>
    <t>AQ-BLD-100079</t>
  </si>
  <si>
    <t>624</t>
  </si>
  <si>
    <t>AQ-BLD-100065</t>
  </si>
  <si>
    <t>537</t>
  </si>
  <si>
    <t>AQ-BLD-100076</t>
  </si>
  <si>
    <t>673</t>
  </si>
  <si>
    <t>AQ-BLD-100057</t>
  </si>
  <si>
    <t>547</t>
  </si>
  <si>
    <t>AQ-BLD-100056</t>
  </si>
  <si>
    <t>561</t>
  </si>
  <si>
    <t>AQ-BLD-100072</t>
  </si>
  <si>
    <t>698</t>
  </si>
  <si>
    <t>AQ-BLD-100060</t>
  </si>
  <si>
    <t>562</t>
  </si>
  <si>
    <t>AQ-BLD-100061</t>
  </si>
  <si>
    <t>215.002</t>
  </si>
  <si>
    <t>AQ-BLD-100075</t>
  </si>
  <si>
    <t>AQ-BLD-100085</t>
  </si>
  <si>
    <t>712</t>
  </si>
  <si>
    <t>AQ-BLD-100082</t>
  </si>
  <si>
    <t>952</t>
  </si>
  <si>
    <t>AQ-BLD-100087</t>
  </si>
  <si>
    <t>808</t>
  </si>
  <si>
    <t>AQ-BLD-100088</t>
  </si>
  <si>
    <t>426.144</t>
  </si>
  <si>
    <t>AQ-BLD-100084</t>
  </si>
  <si>
    <t>776</t>
  </si>
  <si>
    <t>AQ-BLD-100089</t>
  </si>
  <si>
    <t>464.358</t>
  </si>
  <si>
    <t>AQ-BLD-100086</t>
  </si>
  <si>
    <t>813</t>
  </si>
  <si>
    <t>AQ-BLD-100083</t>
  </si>
  <si>
    <t>870</t>
  </si>
  <si>
    <t>AQ-LND-100053</t>
  </si>
  <si>
    <t>2484.682</t>
  </si>
  <si>
    <t>AQ-LND-100077</t>
  </si>
  <si>
    <t>348</t>
  </si>
  <si>
    <t>AQ-LND-100051</t>
  </si>
  <si>
    <t>AQ-LND-100067</t>
  </si>
  <si>
    <t>82</t>
  </si>
  <si>
    <t>AQ-LND-100081</t>
  </si>
  <si>
    <t>5151.17</t>
  </si>
  <si>
    <t>AQ-LND-100047</t>
  </si>
  <si>
    <t>569</t>
  </si>
  <si>
    <t>AQ-LND-100049</t>
  </si>
  <si>
    <t>AQ-LND-100063</t>
  </si>
  <si>
    <t>3861.544</t>
  </si>
  <si>
    <t>AQ-LND-100080</t>
  </si>
  <si>
    <t>2933.6</t>
  </si>
  <si>
    <t>AQ-LND-100052</t>
  </si>
  <si>
    <t>78.744</t>
  </si>
  <si>
    <t>AQ-BLD-100962</t>
  </si>
  <si>
    <t>الصناعات الخفيفه (30)</t>
  </si>
  <si>
    <t>الحرفية</t>
  </si>
  <si>
    <t>5200.160</t>
  </si>
  <si>
    <t>هنجر في محافظة العقبة منطقة الحرفية التنظيم صناعي صناعات حرفية مساحة الأرض 5200.160 مساحة البناء الاجمالية 2400 م2</t>
  </si>
  <si>
    <t>AQ-BLD-100963</t>
  </si>
  <si>
    <t>5200.46</t>
  </si>
  <si>
    <t>5200.460</t>
  </si>
  <si>
    <t>AQ-RE-100255</t>
  </si>
  <si>
    <t>محافظة الكرك</t>
  </si>
  <si>
    <t>اراضي المزار الجنوبي (29)</t>
  </si>
  <si>
    <t>جحرا (586)</t>
  </si>
  <si>
    <t>المزار الجنوبي</t>
  </si>
  <si>
    <t xml:space="preserve">شقة طابق اول مساحة 113 م2 في محافظة الكرك منطقة المزار الجنوبي - حي أبو دراج - تنظيم سكني د_x000D_
</t>
  </si>
  <si>
    <t>AQ-RE-100412</t>
  </si>
  <si>
    <t>اراضي القصر (28)</t>
  </si>
  <si>
    <t>امرع (561)</t>
  </si>
  <si>
    <t>القصر</t>
  </si>
  <si>
    <t>76</t>
  </si>
  <si>
    <t>شقة طابق أول مع سطحه في محافظة الكرك التنظيم سكني د بمساحة 74 م2</t>
  </si>
  <si>
    <t>AQ-RE-100121</t>
  </si>
  <si>
    <t>اراضي الكرك (27)</t>
  </si>
  <si>
    <t>الكنار (509)</t>
  </si>
  <si>
    <t>الفج (7)</t>
  </si>
  <si>
    <t>الثنية</t>
  </si>
  <si>
    <t xml:space="preserve">شقة طابق ثالث مساحة 139 م2 في محافظة الكرك منطقة الثنية تنظيم سكني ج_x000D_
</t>
  </si>
  <si>
    <t>AQ-RE-101005</t>
  </si>
  <si>
    <t>اراضي الأغوار الجنوبية (39)</t>
  </si>
  <si>
    <t>غور الصافي (523)</t>
  </si>
  <si>
    <t>الجبل (39)</t>
  </si>
  <si>
    <t>292.48</t>
  </si>
  <si>
    <t xml:space="preserve">عقار سكني يقع في محافظة الكرك منطقة غور الصافي حي الجبل التنظيم السكني د مساحة القطعة 292.48 م2_x000D_
</t>
  </si>
  <si>
    <t>AQ-BLD-100890</t>
  </si>
  <si>
    <t>غور فيفة (529)</t>
  </si>
  <si>
    <t>البلد (15)</t>
  </si>
  <si>
    <t>510</t>
  </si>
  <si>
    <t>عقار سكني في محافظة الكرك منطقة غور فيفا التنظيم سكني ج مساحة الأرض 510 مساحة البناء الاجمالية 125 م2</t>
  </si>
  <si>
    <t>AQ-BLD-100297</t>
  </si>
  <si>
    <t>النقع (763)</t>
  </si>
  <si>
    <t>461.870</t>
  </si>
  <si>
    <t>"عقار سكني في الكرك - قرية النقع تنظيمه سكن _x000D_
مساحة الأرض 461.870 م2 ومساحة العقار الاجمالية 195 م2 _x000D_
مؤلف من طابق أرضي مساحة 195 م2_x000D_
كما يخدم البناء ترس امامي بمساحة 45 م2 + مطلع درج_x000D_
_x000D_
 الكرك - الاغوار الجنوبية - النقع - حي البلد"</t>
  </si>
  <si>
    <t>AQ-BLD-100990</t>
  </si>
  <si>
    <t>الوادي الابيض (612)</t>
  </si>
  <si>
    <t>البلد (4)</t>
  </si>
  <si>
    <t>2563.210</t>
  </si>
  <si>
    <t>عقار سكني في محافظة الكرك منطقة وادي الأبيض التنظيم سكني ج مساحة الأرض 2563.210 مساحة البناء الاجمالية 180 م2</t>
  </si>
  <si>
    <t>AQ-BLD-100029</t>
  </si>
  <si>
    <t>ادر (501)</t>
  </si>
  <si>
    <t>البلد الشمالي (12)</t>
  </si>
  <si>
    <t>أدر</t>
  </si>
  <si>
    <t>828</t>
  </si>
  <si>
    <t>عقار سكني مصمم بطابقين اتفاقية وارضي مساحتهم الجمالية 262 م2 و مساحة الارض 828 م2 في محافظة الكرك منطقة أدر تجاري سكن محلي ج</t>
  </si>
  <si>
    <t>AQ-BLD-101011</t>
  </si>
  <si>
    <t>الجمعيه (38)</t>
  </si>
  <si>
    <t>287.900</t>
  </si>
  <si>
    <t>عقار سكني في محافظة الكرك منطقة غور الصافي التنظيم سكني د مساحة الأرض 287.900 مساحة البناء الاجمالية 177 م2</t>
  </si>
  <si>
    <t>AQ-BLD-100372</t>
  </si>
  <si>
    <t xml:space="preserve">"عقار سكني في الكرك تنظيمه سكن د_x000D_
مساحة الأرض 288 م2 ومساحة العقار الاجمالية 300 م2 _x000D_
مؤلف من طابقين ( أرضي + اول)_x000D_
مساحة كل طابق 150 متر_x000D_
_x000D_
الكرك – الاغوار الجنوبية – بالقرب من مركز التنمية للموارد الاجتماعية"_x000D_
</t>
  </si>
  <si>
    <t>AQ-BLD-100167</t>
  </si>
  <si>
    <t>المرد (511)</t>
  </si>
  <si>
    <t>تلعة شاهة (7)</t>
  </si>
  <si>
    <t>المشيرفة</t>
  </si>
  <si>
    <t>"عقار سكني في الكرك - المشيرفة تنظيمه سكن ج_x000D_
مساحة الأرض 500 م2 ومساحة العقار الاجمالية 344 م2 _x000D_
مؤلف من طابقين ( تسوية + أرضي )_x000D_
_x000D_
الكرك المشيرفة - شارع المستشفى الحكومي - الجهة الشمالية من قاعات الرويال ومجمع طه الشرفا "</t>
  </si>
  <si>
    <t>AQ-BLD-100674</t>
  </si>
  <si>
    <t>مؤته (595)</t>
  </si>
  <si>
    <t>انجاصه الغربي (2)</t>
  </si>
  <si>
    <t>مؤتة</t>
  </si>
  <si>
    <t>499</t>
  </si>
  <si>
    <t>"عقار سكني في الكرك - مؤتة تنظيمه سكن ج_x000D_
مساحة الأرض 499 م2 ومساحة العقار الاجمالية 358 م2 _x000D_
مؤلف من طابقين ( أرضي + أول )_x000D_
مساحة كل طابق 155 متر 2_x000D_
_x000D_
الكرك المشيرفة - شارع المستشفى الحكومي - الجهة الشمالية من قاعات الرويال ومجمع طه الشرفا "</t>
  </si>
  <si>
    <t>AQ-BLD-100187</t>
  </si>
  <si>
    <t>الكرك (500)</t>
  </si>
  <si>
    <t>بطين ام العقارب (16)</t>
  </si>
  <si>
    <t>المرج</t>
  </si>
  <si>
    <t>784</t>
  </si>
  <si>
    <t>"عقار سكني في الكرك _x000D_
مساحة الأرض784 م2 ومساحة العقار الاجمالية 1203 م2 _x000D_
مؤلف من 5 طوابق (3 تسوية + أرضي + اول)_x000D_
طابق التسوية الأولى خدمات وطابق التسوية الثانية والثالثة كل طابق مكون من شقتين والطابق الأرضي والاول عظم_x000D_
_x000D_
 الكرك - قرب مدرسة المرج الأساسية  وخلف ديوان الخدمة المدنية فرع الكرك"</t>
  </si>
  <si>
    <t>AQ-BLD-101265</t>
  </si>
  <si>
    <t>العدنانيه (507)</t>
  </si>
  <si>
    <t>سدور محنا (10)</t>
  </si>
  <si>
    <t>476</t>
  </si>
  <si>
    <t>AQ-LND-100542</t>
  </si>
  <si>
    <t>الطيبه (576)</t>
  </si>
  <si>
    <t>المشاريق (24)</t>
  </si>
  <si>
    <t>1867.300</t>
  </si>
  <si>
    <t>محافظة الكرك - اراضي المزار الجنوبي - قرية الطيبة - لوحة 24 الكرك - حوض المشاريق 24 - مساحتها - 1,867.3 م2 لوحة 27 منظمة سكن ب</t>
  </si>
  <si>
    <t>AQ-LND-101013</t>
  </si>
  <si>
    <t>ام حماط (585)</t>
  </si>
  <si>
    <t>البلد (10)</t>
  </si>
  <si>
    <t>2499</t>
  </si>
  <si>
    <t>قطعة ارض في محافظة الكرك منطقة ام حماط التنظيم سكني د مساحة الأرض 2499</t>
  </si>
  <si>
    <t>AQ-LND-101472</t>
  </si>
  <si>
    <t>الثنيه (502)</t>
  </si>
  <si>
    <t>سوط حمدان (18)</t>
  </si>
  <si>
    <t>628</t>
  </si>
  <si>
    <t>AQ-LND-101473</t>
  </si>
  <si>
    <t>669</t>
  </si>
  <si>
    <t>AQ-BLD-100702</t>
  </si>
  <si>
    <t>الحسينيه (571)</t>
  </si>
  <si>
    <t xml:space="preserve">منزل مستقل مكون من طابق واحد - مساحة الأرض 231 م2 ومساحة البناء الاجمالية 176 م2 في محافظة الكرك منطقة الحسينية تنظيم سكني د مقابل مسجد الحسينية الكبير_x000D_
</t>
  </si>
  <si>
    <t>AQ-BLD-100150</t>
  </si>
  <si>
    <t>غور الحديثة (761)</t>
  </si>
  <si>
    <t>384</t>
  </si>
  <si>
    <t xml:space="preserve">منزل مستقل مكون من طابق واحد - مساحة الأرض 384 م2 ومساحة البناء الاجمالية 106 م2 في محافظة الكرك منطقة غور الحديثة تنظيم سكني د بالقرب من مدرسة النعام الجديدة_x000D_
</t>
  </si>
  <si>
    <t>AQ-BLD-100694</t>
  </si>
  <si>
    <t>المزرعة (760)</t>
  </si>
  <si>
    <t>الجيش (4)</t>
  </si>
  <si>
    <t>512</t>
  </si>
  <si>
    <t xml:space="preserve">منزل مستقل مكون من طابق واحد - مساحة الأرض 512 م2 ومساحة البناء الاجمالية 110 م2 في محافظة الكرك منطقة الاغوار الجنوبية تنظيم سكني ج بالقرب من مدرسة المزرعة الأساسية_x000D_
</t>
  </si>
  <si>
    <t>AQ-BLD-100670</t>
  </si>
  <si>
    <t>العمريه (577)</t>
  </si>
  <si>
    <t>630</t>
  </si>
  <si>
    <t xml:space="preserve">منزل مستقل مكون من طابق واحد - مساحة الأرض 630 م2 ومساحة البناء الاجمالية 127 م2 في محافظة الكرك منطقة المزار الجنوبي تنظيم سكني ج بالقرب من مثلث الأبيض_x000D_
</t>
  </si>
  <si>
    <t>AQ-BLD-101332</t>
  </si>
  <si>
    <t>مشروع سد السلطاني (537)</t>
  </si>
  <si>
    <t>1063</t>
  </si>
  <si>
    <t>AQ-BLD-100148</t>
  </si>
  <si>
    <t>محافظة المفرق</t>
  </si>
  <si>
    <t>اراضي المفرق (25)</t>
  </si>
  <si>
    <t>المفرق (423)</t>
  </si>
  <si>
    <t>البلد (7)</t>
  </si>
  <si>
    <t>البادية الشمالية الغربية</t>
  </si>
  <si>
    <t>312</t>
  </si>
  <si>
    <t xml:space="preserve">عقار تجاري مكون من 6 طوابق مقام على ارض مساحتها 312 م2 في محافظة المفرق - حي المختلط تنظيم تجاري طولي ضمن سكن ج وعبارة عن مخازن تجارية عدد 6 إضافة الى 11 شقة في الطوابق من الأول للرابع بمساحات مختلفة ويقع مقابل مدرسة وكالة الغوث من الجهة الغربية_x000D_
</t>
  </si>
  <si>
    <t>AQ-BLD-101084</t>
  </si>
  <si>
    <t>البويضة (428)</t>
  </si>
  <si>
    <t>الغويرية (30)</t>
  </si>
  <si>
    <t>ارحاب</t>
  </si>
  <si>
    <t>836</t>
  </si>
  <si>
    <t xml:space="preserve">عقار سكني في محافظة المفرق منطقة ارحاب التنظيم سكني ب مساحة الأرض 836 مساحة البناء الاجمالية 75 م2_x000D_
</t>
  </si>
  <si>
    <t>AQ-BLD-100435</t>
  </si>
  <si>
    <t>اراضي البادية الشمالية (26)</t>
  </si>
  <si>
    <t>ام الجمال (444)</t>
  </si>
  <si>
    <t>الخربه (2)</t>
  </si>
  <si>
    <t>أم الجمال</t>
  </si>
  <si>
    <t>1485.74</t>
  </si>
  <si>
    <t>"عقار سكني في المفرق - ام الجمال تنظيمه سكن د_x000D_
مساحة الأرض 1485.74 م2 ومساحة العقار الاجمالية 115 م2 _x000D_
مؤلف من طابق واحد مساحة 115 م2_x000D_
_x000D_
المفرق - قرب  بلدية ام الجمال بحوالي 200 م وشمال غرب الاثار"</t>
  </si>
  <si>
    <t>AQ-BLD-100506</t>
  </si>
  <si>
    <t>حوشا (457)</t>
  </si>
  <si>
    <t>بلد الحمراء (3)</t>
  </si>
  <si>
    <t>الحمراء</t>
  </si>
  <si>
    <t>822.170</t>
  </si>
  <si>
    <t>"عقار سكني في المفرق - حوشا تنظيمه سكن ب_x000D_
مساحة الأرض 822 م2 ومساحة العقار الاجمالية 230 م2 _x000D_
مؤلف من طابقين ( أرضي + اول )_x000D_
مساحة كل طابق 115 متر_x000D_
_x000D_
العقار محاط بأسوار خارجية من الدكة والطوب ويوجد اعمال واشجار خارجية_x000D_
_x000D_
المفرق - الحمرا - شرق مدرسة الحمرا الثانوية للبنين"</t>
  </si>
  <si>
    <t>AQ-BLD-100664</t>
  </si>
  <si>
    <t>الخالدية (432)</t>
  </si>
  <si>
    <t>المشرفه (7)</t>
  </si>
  <si>
    <t>الخالدية</t>
  </si>
  <si>
    <t>500.24</t>
  </si>
  <si>
    <t>"عقار سكني في المفرق - الخالدية تنظيمه سكن ج_x000D_
مساحة الأرض 500.24 م2 ومساحة العقار الاجمالية 300 م2 _x000D_
مؤلف من 3 طوابق ( أرضي + اول + ثاني )_x000D_
مساحة كل طابق 100 متر_x000D_
_x000D_
المفرق - الخالدية قرب مركز الملك عبدالله الثاني للتصميم و التطوير"</t>
  </si>
  <si>
    <t>AQ-BLD-100523</t>
  </si>
  <si>
    <t>الجيعه الشمالي (5)</t>
  </si>
  <si>
    <t>338.000</t>
  </si>
  <si>
    <t>"عقار سكني في المفرق - تنظيمه سكن د_x000D_
مساحة الأرض 338 م2 ومساحة العقار الاجمالية 390 م2 _x000D_
مؤلف من 3 طوابق ( أرضي + اول + ثاني )_x000D_
مساحة كل طابق 130 متر_x000D_
_x000D_
المفرق - الحي الشمالي - جنوب غرب مسجد التوبة"</t>
  </si>
  <si>
    <t>AQ-BLD-100055</t>
  </si>
  <si>
    <t>الباعج (426)</t>
  </si>
  <si>
    <t>الردم (2)</t>
  </si>
  <si>
    <t>الباعج</t>
  </si>
  <si>
    <t>3000</t>
  </si>
  <si>
    <t>"عقار سكني في المفرق - الباعج تنظيمه سكن ج_x000D_
مساحة الأرض 3000 م2 ومساحة العقار الاجمالية 400 م2 _x000D_
مؤلف من طابقين ( أرضي + اول )_x000D_
مساحة كل طابق 200 متر_x000D_
_x000D_
المفرق - بلدة الباعج - شارع ام السرب - بالقرب من مسجد الكوثر"</t>
  </si>
  <si>
    <t>AQ-BLD-100601</t>
  </si>
  <si>
    <t>عين و المعمرية (477)</t>
  </si>
  <si>
    <t>الاقرع (11)</t>
  </si>
  <si>
    <t>عين والمعمرية</t>
  </si>
  <si>
    <t>9679</t>
  </si>
  <si>
    <t>"عقار سكني في المفرق - عين والمعمرية زراعي خارج التنظيم_x000D_
مساحة الأرض 9679 م2 ومساحة العقار الاجمالية 699 م2 _x000D_
مؤلف من 3 طوابق ( أرضي + اول + ثاني )_x000D_
كل طابق عبارة عن شقة_x000D_
_x000D_
المفرق -  عين والمعمرية"</t>
  </si>
  <si>
    <t>AQ-BLD-101079</t>
  </si>
  <si>
    <t>الزنية (438)</t>
  </si>
  <si>
    <t>الصنع (8)</t>
  </si>
  <si>
    <t>الزنية</t>
  </si>
  <si>
    <t>6283.970</t>
  </si>
  <si>
    <t xml:space="preserve">عقار سكني في محافظة المفرق منطقة الزنية التنظيم سكني أ مساحة الأرض 6283.970 مساحة البناء الاجمالية 590 م2_x000D_
</t>
  </si>
  <si>
    <t>AQ-BLD-101355</t>
  </si>
  <si>
    <t>بلعما (452)</t>
  </si>
  <si>
    <t>مقطع راس عدوان (8)</t>
  </si>
  <si>
    <t>بلعما</t>
  </si>
  <si>
    <t>604.70</t>
  </si>
  <si>
    <t>AQ-LND-101069</t>
  </si>
  <si>
    <t>بلد عين (10)</t>
  </si>
  <si>
    <t>1099.25</t>
  </si>
  <si>
    <t>قطعة ارض ضمن حدود بلدية رحاب الجديدة و خارج التنظيم وخالية من الابنية والانشاءات وتصلح للبناء والزراعة</t>
  </si>
  <si>
    <t>AQ-LND-100196</t>
  </si>
  <si>
    <t>اخو مريم (5)</t>
  </si>
  <si>
    <t>620.740</t>
  </si>
  <si>
    <t xml:space="preserve">محافظة المفرق - اراضي المفرق - قرية عين و المعمرية المفرق - حوض أخو مريم 5 - مساحتها - 620.74 م2 منتظمة الشكل تنظيم سكن خاص وواقعة على شارعين_x000D_
</t>
  </si>
  <si>
    <t>AQ-LND-101017</t>
  </si>
  <si>
    <t>مغير السرحان (482)</t>
  </si>
  <si>
    <t>العاصم الجنوبي (6)</t>
  </si>
  <si>
    <t>مغير السرحان</t>
  </si>
  <si>
    <t>1220.440</t>
  </si>
  <si>
    <t xml:space="preserve">قطعة ارض في محافظة المفرق منطقة مغير السرحان التنظيم سكني مساحة الأرض 1220.440 م2_x000D_
</t>
  </si>
  <si>
    <t>AQ-LND-101014</t>
  </si>
  <si>
    <t>الحباب  الجنوبي (5)</t>
  </si>
  <si>
    <t>1976</t>
  </si>
  <si>
    <t>قطعة ارض في محافظة المفرق منطقة مغير السرحان التنظيم سكني مساحة الأرض 1976 م2</t>
  </si>
  <si>
    <t>AQ-LND-101015</t>
  </si>
  <si>
    <t>2160</t>
  </si>
  <si>
    <t xml:space="preserve">قطعة ارض في محافظة المفرق منطقة مغير السرحان التنظيم سكني مساحة الأرض 2160 م2_x000D_
</t>
  </si>
  <si>
    <t>AQ-LND-101066</t>
  </si>
  <si>
    <t>الشريفية (12)</t>
  </si>
  <si>
    <t>11000</t>
  </si>
  <si>
    <t>قطعة ارض تقع على شارع عرض 10 متر و خارج التنظيم وخالية من الأبنية والانشاءات</t>
  </si>
  <si>
    <t>AQ-LND-101016</t>
  </si>
  <si>
    <t>4751</t>
  </si>
  <si>
    <t xml:space="preserve">قطعة ارض في محافظة المفرق منطقة مغير السرحان التنظيم سكني مساحة الأرض 4751 م2_x000D_
</t>
  </si>
  <si>
    <t>AQ-LND-100458</t>
  </si>
  <si>
    <t>المفرق الجنوبي (4)</t>
  </si>
  <si>
    <t>ضاحية الجامعة</t>
  </si>
  <si>
    <t>1364.640</t>
  </si>
  <si>
    <t>محافظة المفرق - اراضي المفرق - قرية المفرق - لوحة 27 المفرق - حوض المفرق الجنوبي 4 - مساحتها - 1,364.64 م2 القطعة منتظمة الشكل واقعة على شارع و منظمة سكن ج ومخدومة بكافة الخدمات</t>
  </si>
  <si>
    <t>AQ-LND-101068</t>
  </si>
  <si>
    <t>بلد اشوحة (13)</t>
  </si>
  <si>
    <t>11046.56</t>
  </si>
  <si>
    <t>AQ-LND-101067</t>
  </si>
  <si>
    <t>النماره الشمالي (15)</t>
  </si>
  <si>
    <t>24135</t>
  </si>
  <si>
    <t>AQ-LND-100210</t>
  </si>
  <si>
    <t>ثغرة الجب (453)</t>
  </si>
  <si>
    <t>منشية الزعتري (4)</t>
  </si>
  <si>
    <t>ثغرة الجب</t>
  </si>
  <si>
    <t>13032</t>
  </si>
  <si>
    <t>AQ-BLD-100106</t>
  </si>
  <si>
    <t>حيان المشرف (459)</t>
  </si>
  <si>
    <t>902.810</t>
  </si>
  <si>
    <t xml:space="preserve">منزل مستقل مكون من طابق واحد - مساحة الأرض 903 م2 ومساحة البناء الاجمالية 140 م2 في محافظة المفرق منطقة ايدون بني حسن تنظيم سكني ج </t>
  </si>
  <si>
    <t>AQ-RE-100373</t>
  </si>
  <si>
    <t>محافظة جرش</t>
  </si>
  <si>
    <t>اراضي جرش (11)</t>
  </si>
  <si>
    <t>جرش (234)</t>
  </si>
  <si>
    <t>بين وادي الدير والمجر (2)</t>
  </si>
  <si>
    <t xml:space="preserve">شقة طابق ثالث مساحة 128 م2 في محافظة جرش منطقة جبل الشيخ مصلح تنظيم سكني ج_x000D_
</t>
  </si>
  <si>
    <t>AQ-BLD-100163</t>
  </si>
  <si>
    <t>باب عمان (9)</t>
  </si>
  <si>
    <t>2571</t>
  </si>
  <si>
    <t xml:space="preserve">عقار تجاري مكون من بنائين مساحتهما الاجمالية 877 م2 مقامة على ارض مساحتها 2571 م2 في محافظة جرش تنظيم سكن ب والبناء الأول عبارة عن مخازن مؤجرة للمؤسسة الاستهلاكية المدنية تجارية والبناء الثاني مستخدم كمحطة غسيل سيارات_x000D_
</t>
  </si>
  <si>
    <t>AQ-BLD-100320</t>
  </si>
  <si>
    <t>قفقفا (254)</t>
  </si>
  <si>
    <t>اسبيره الشمالية (5)</t>
  </si>
  <si>
    <t>قفقفا</t>
  </si>
  <si>
    <t>1604</t>
  </si>
  <si>
    <t xml:space="preserve">عقار سكني في محافظة جرش منطقة قفقفا التنظيم خارج التنظيم ملك مساحة الأرض 1604 مساحة البناء الاجمالية 464 م2_x000D_
</t>
  </si>
  <si>
    <t>AQ-BLD-101090</t>
  </si>
  <si>
    <t>ابو الحجل (10)</t>
  </si>
  <si>
    <t>730.650</t>
  </si>
  <si>
    <t>عقار سكني في جرش مكون من 4 طوابق (تسويتين وارضي واول) مقام على قطعة ارض مساحتها 731 م2 ومساحة البناء الاجمالية 1330 م2</t>
  </si>
  <si>
    <t>AQ-BLD-100766</t>
  </si>
  <si>
    <t>1121</t>
  </si>
  <si>
    <t>AQ-BLD-100867</t>
  </si>
  <si>
    <t>650</t>
  </si>
  <si>
    <t>AQ-LND-100276</t>
  </si>
  <si>
    <t>الخضرا الفوقا (7)</t>
  </si>
  <si>
    <t>1904</t>
  </si>
  <si>
    <t xml:space="preserve">محافظة جرش - اراضي جرش - قرية جرش - حوض الخضرا الفوقا 7 - مساحتها - 1,904 م2 لوحة 12 منظمة سكن ب ومستوية وواقعة على شارعين_x000D_
</t>
  </si>
  <si>
    <t>AQ-LND-100272</t>
  </si>
  <si>
    <t>الكتة (238)</t>
  </si>
  <si>
    <t>نجيب (4)</t>
  </si>
  <si>
    <t>الكته</t>
  </si>
  <si>
    <t>10081</t>
  </si>
  <si>
    <t>AQ-RE-101247</t>
  </si>
  <si>
    <t>محافظة عجلون</t>
  </si>
  <si>
    <t>اراضي عجلون (10)</t>
  </si>
  <si>
    <t>كفرنجه (229)</t>
  </si>
  <si>
    <t>ابو النجم (9)</t>
  </si>
  <si>
    <t>كفرنجا</t>
  </si>
  <si>
    <t>94</t>
  </si>
  <si>
    <t>طابق تسوية عدا سطحها من البناء الشمالي مساحتها 94 متر مربع، تنظيم سكن ج، بالقرب من مدرسة عثمان بن عفان</t>
  </si>
  <si>
    <t>AQ-BLD-100730</t>
  </si>
  <si>
    <t>عين جنا (228)</t>
  </si>
  <si>
    <t>النزاز (31)</t>
  </si>
  <si>
    <t>عين جنا</t>
  </si>
  <si>
    <t>2711</t>
  </si>
  <si>
    <t>عقار سكني في محافظة عجلون منطقة عين جنا التنظيم تجاري محلي سكن د مساحة الأرض 2711 مساحة البناء الاجمالية 1060 م2</t>
  </si>
  <si>
    <t>AQ-LND-100222</t>
  </si>
  <si>
    <t>الهاشمية (215)</t>
  </si>
  <si>
    <t>العرش (3)</t>
  </si>
  <si>
    <t>5945.910</t>
  </si>
  <si>
    <t xml:space="preserve">محافظة عجلون - أراضي عجلون - قرية الهاشمية - لوحة رقم 15_x000D_
_x000D_
مساحة الأرض: 5,946 م2_x000D_
التنظيم: سكن ريفي_x000D_
بيانات إضافية: قطعة ارض تنظيمها سكن ريفي تقع ضمن حدود وتنظيم بلدية الشفا - وهي غير منتظمة الشكل وصالحة للزراعة ومحاطة بالأبنية السكنية من كافة الجهات_x000D_
الموقع: محافظة عجلون - شمال مسجد المهاجرين </t>
  </si>
  <si>
    <t>AQ-RE-101075</t>
  </si>
  <si>
    <t>محافظة مادبا</t>
  </si>
  <si>
    <t>اراضي مادبا (3)</t>
  </si>
  <si>
    <t>الفيحاء (75)</t>
  </si>
  <si>
    <t>الجازل (1)</t>
  </si>
  <si>
    <t>الفيحاء</t>
  </si>
  <si>
    <t>95</t>
  </si>
  <si>
    <t xml:space="preserve">شقة طابق اول في محافظة مادبا منطقة الفيحاء التنظيم سكني تطوير حضري بمساحة 95 م2_x000D_
</t>
  </si>
  <si>
    <t>AQ-RE-100983</t>
  </si>
  <si>
    <t>كفير ابوخينان الشرقي (102)</t>
  </si>
  <si>
    <t>طاسان (1)</t>
  </si>
  <si>
    <t xml:space="preserve"> الشقة الشرقية من طابق الثاني عدا سطحها، تبلغ مساحتها 158 متر مربع، تنظيم سكن ب، بالقرب من مدرسة المأمونية</t>
  </si>
  <si>
    <t>AQ-RE-100534</t>
  </si>
  <si>
    <t>الخطابية (70)</t>
  </si>
  <si>
    <t>حنو محفوظ (5)</t>
  </si>
  <si>
    <t>وسط مادبا</t>
  </si>
  <si>
    <t>AQ-RE-100975</t>
  </si>
  <si>
    <t>الفيصلية (76)</t>
  </si>
  <si>
    <t>الكفير الغربي (2)</t>
  </si>
  <si>
    <t>الفيصلية</t>
  </si>
  <si>
    <t>AQ-RE-101349</t>
  </si>
  <si>
    <t>خربة حنينا (92)</t>
  </si>
  <si>
    <t>حنينا الغربي (3)</t>
  </si>
  <si>
    <t>حنينا</t>
  </si>
  <si>
    <t>-0</t>
  </si>
  <si>
    <t>AQ-BLD-100548</t>
  </si>
  <si>
    <t>مادبا (68)</t>
  </si>
  <si>
    <t>مقاسم مادبا الشمالي (19)</t>
  </si>
  <si>
    <t>855</t>
  </si>
  <si>
    <t>"عقار سكني في مادبا -تنظيمه سكن ج_x000D_
مساحة الأرض 855 م2 ومساحة العقار الاجمالية 523 م2 _x000D_
مؤلف من طابقين ( تسوية + أرضي  )_x000D_
يوجد مساحة صغيرة مستغلة كبقالة_x000D_
_x000D_
مادبا - حي الكرامة - قرب مسجد علي بن اب طالب"</t>
  </si>
  <si>
    <t>AQ-LND-100584</t>
  </si>
  <si>
    <t>اراضي ذيبان (17)</t>
  </si>
  <si>
    <t>ذيبان (94)</t>
  </si>
  <si>
    <t>تلعة البقرة الغربي (7)</t>
  </si>
  <si>
    <t>ذيبان</t>
  </si>
  <si>
    <t>قطعة ارض خالية من الابنية والانشاءات مساحتها - 771 م2 تنظيم سكن ج على شارع معبد ومتوفرة جميع الخدمات_x000D_
الموقع: ذيبان - مقابل مسجد الرحمن - قرب روضة كوكبة زهرة الطفولة - دوار ذيبان</t>
  </si>
  <si>
    <t>AQ-LND-100183</t>
  </si>
  <si>
    <t>لب (103)</t>
  </si>
  <si>
    <t>المقصم (26)</t>
  </si>
  <si>
    <t>لب</t>
  </si>
  <si>
    <t>8234</t>
  </si>
  <si>
    <t>AQ-LND-100587</t>
  </si>
  <si>
    <t>الذهيبه (72)</t>
  </si>
  <si>
    <t>الذهيبة الوسطى (4)</t>
  </si>
  <si>
    <t>67551</t>
  </si>
  <si>
    <t>مزرعة بمساحة 67551 م2 في محافظة مادبا منطقة ذيبان قرية الذهيبة خارج التنظيم زراعي ومزروعة باشجار الزيتون والأشجار الحرجية وبعض الاشجار المثمرة_x000D_
مقام على قطعة الارض بناء من طابقين مساحتهم الاجمالية 405 م2 _x000D_
ذيبان - غرب تل ذيبان الاثري</t>
  </si>
  <si>
    <t>AQ-BLD-100094</t>
  </si>
  <si>
    <t>جرينه (87)</t>
  </si>
  <si>
    <t>جرينه الغربي (4)</t>
  </si>
  <si>
    <t>جرينة</t>
  </si>
  <si>
    <t>799.350</t>
  </si>
  <si>
    <t xml:space="preserve">منزل مستقل مكون من طابق واحد - مساحة الأرض 799 م2 ومساحة البناء الاجمالية 165 م2 في محافظة مادبا منطقة حي القادسية تنظيم سكن شعبي بالقرب من مدرسة جرينة الأساسية_x000D_
</t>
  </si>
  <si>
    <t>AQ-BLD-100695</t>
  </si>
  <si>
    <t>محافظة معان</t>
  </si>
  <si>
    <t>اراضي معان (33)</t>
  </si>
  <si>
    <t>سطح معان (631)</t>
  </si>
  <si>
    <t>سهلة المغايض (21)</t>
  </si>
  <si>
    <t>سطح معان</t>
  </si>
  <si>
    <t>616.63</t>
  </si>
  <si>
    <t>AQ-LND-100658</t>
  </si>
  <si>
    <t>الشراه الجنوبية (624)</t>
  </si>
  <si>
    <t>خردبه (34)</t>
  </si>
  <si>
    <t>326.666</t>
  </si>
  <si>
    <t>محافظة معان - أراضي معان - قرية الشراه الجنوبية_x000D_
_x000D_
عدد 60 حصة من اصل 720 حصة من قطعة ارض من نوع ميري مساحتها الاجمالية 3920 م2 وتبلغ الحصص ما يقارب 327 م2 وهي خارج التنظيم ومخدومة بالكهرباء والمياه تقع على طريق العقبة الرئيسي ضمن مشروع القاسمية (مزارع التفاح) وتنخفض عن مستوى الطريق وجزء منها مزروع بأشجار التفاح ومحاطة بالشجر الحرجي من الامام</t>
  </si>
  <si>
    <t>Data_1</t>
  </si>
  <si>
    <t>REF_NO</t>
  </si>
  <si>
    <t>REQUESTED_DATE</t>
  </si>
  <si>
    <t>CREATOR_USERNAME</t>
  </si>
  <si>
    <t>PROPERTY_TYPE</t>
  </si>
  <si>
    <t>AREA_NAME</t>
  </si>
  <si>
    <t>PROPERTY_DESC</t>
  </si>
  <si>
    <t>PROPERTY_CATEGORY</t>
  </si>
  <si>
    <t>GOVERNORATE</t>
  </si>
  <si>
    <t>REGISTRATION_AUTHORITY</t>
  </si>
  <si>
    <t>VILLAGE_NO_NAME</t>
  </si>
  <si>
    <t>BASIN_NO_NAME</t>
  </si>
  <si>
    <t>APARTMENT_NO</t>
  </si>
  <si>
    <t>PLOT_NO</t>
  </si>
  <si>
    <t>TOTAL_VALUE</t>
  </si>
  <si>
    <t>LATITUDE</t>
  </si>
  <si>
    <t>LONGITUDE</t>
  </si>
  <si>
    <t>BUILDING_AREA</t>
  </si>
  <si>
    <t>TOUR_LINK</t>
  </si>
  <si>
    <t>HAS_VIDEO</t>
  </si>
  <si>
    <t>HAS_IMAGE</t>
  </si>
  <si>
    <t>GOOGLE_MAP_ADDRESS</t>
  </si>
  <si>
    <t>FLOOR_NO</t>
  </si>
  <si>
    <t>MARKETING_MESSAGE</t>
  </si>
  <si>
    <t>VIDEO_LINK</t>
  </si>
  <si>
    <t>VIDEO_EQ</t>
  </si>
  <si>
    <t>TOUR_EQ</t>
  </si>
  <si>
    <t>LOC_EQ</t>
  </si>
  <si>
    <t xml:space="preserve">طابق تسوية مخزن جنوبي وسط عدا السطح </t>
  </si>
  <si>
    <t>لا</t>
  </si>
  <si>
    <t>https://maps.app.goo.gl/TiVucRGg5RVLEjAY7</t>
  </si>
  <si>
    <t xml:space="preserve">طابق تسوية مخزن شمالي وسط عدا السطح </t>
  </si>
  <si>
    <t>https://maps.app.goo.gl/8szHmw75q7cGjeJ57</t>
  </si>
  <si>
    <t>طابق التسوية مخزن شمالي وسط عدا السطح</t>
  </si>
  <si>
    <t>https://maps.app.goo.gl/utZa7pbDNC5BNjBR8</t>
  </si>
  <si>
    <t xml:space="preserve">طابق التسوية مخزن شمالي وسط عدا السطح </t>
  </si>
  <si>
    <t>https://maps.app.goo.gl/RYd23MtaG2mUYFnd7</t>
  </si>
  <si>
    <t xml:space="preserve">طابق تسوية مخزن شمالي غربي عدا السطح </t>
  </si>
  <si>
    <t>https://maps.app.goo.gl/krbj2GhMvuWbUamp8</t>
  </si>
  <si>
    <t xml:space="preserve">طابق ارضي مخزن غربي عدا السطح </t>
  </si>
  <si>
    <t>https://maps.app.goo.gl/6VeK1soQc9FANyGr5</t>
  </si>
  <si>
    <t xml:space="preserve">طابق ارضي مخزن جنوبي غربي عدا سطح </t>
  </si>
  <si>
    <t>https://maps.app.goo.gl/pifTYeCxr41ZPNEo6</t>
  </si>
  <si>
    <t xml:space="preserve">سطح الطابق الثاني مقام على جزء منه بناء عدا حق الاعتلاء على ان يكون سطح البناء الذي سيقام منافع عامة للبناء الكلي_x000D_
</t>
  </si>
  <si>
    <t>https://maps.app.goo.gl/A3XZbfh84v35bWus8</t>
  </si>
  <si>
    <t>الشقة الشرقية من طابق التسوية عدا سطحها</t>
  </si>
  <si>
    <t>https://maps.app.goo.gl/9pCAjbaA9ZKNeSdX7</t>
  </si>
  <si>
    <t xml:space="preserve">طابق تسوية عدا سطحه_x000D_
</t>
  </si>
  <si>
    <t>https://maps.app.goo.gl/kNwMxKFC2vofNDEx9</t>
  </si>
  <si>
    <t>الشقة رقم رقم 682/122 حوض الضمري 4 من اراضي اربد</t>
  </si>
  <si>
    <t xml:space="preserve">بناية جنوبية سطح الطابق الأرضي مقام على جزء منه طابق اول (حق الاعتلاء الى شمسية موسى عبدالقادر علاونة)_x000D_
</t>
  </si>
  <si>
    <t xml:space="preserve">الشقة الجنوبية من الطابق الثاني مع السطح </t>
  </si>
  <si>
    <t xml:space="preserve">طابق التسوية شقة الجنوبية عدا سطحها </t>
  </si>
  <si>
    <t>https://maps.app.goo.gl/4ZeUixs6SEXRqnyr8</t>
  </si>
  <si>
    <t xml:space="preserve">طابق ارضي عدا السطح_x000D_
</t>
  </si>
  <si>
    <t>https://maps.app.goo.gl/sUZZ3HjBRZcis2or5</t>
  </si>
  <si>
    <t xml:space="preserve">طابق الأول عدا السطح شقة شمالية </t>
  </si>
  <si>
    <t>https://maps.app.goo.gl/7sqfSsirCnZF91UG9</t>
  </si>
  <si>
    <t xml:space="preserve"> طابق اول عدا سطحه_x000D_
</t>
  </si>
  <si>
    <t>https://maps.app.goo.gl/mCqyP1zsBZKWR2FD9</t>
  </si>
  <si>
    <t xml:space="preserve">طابق ثاني عدا سطحه_x000D_
</t>
  </si>
  <si>
    <t>https://maps.app.goo.gl/fZNY8kEBaL8shcWo6</t>
  </si>
  <si>
    <t>الشقة الشمالية الغربية طابق ارضي عدا السطج "_x000D_
مساحة الشقة : 158 م2_x000D_
الشقة تقع في الطابق الأرضي"</t>
  </si>
  <si>
    <t>https://maps.app.goo.gl/5WPQMJjorRyZDxdY6</t>
  </si>
  <si>
    <t xml:space="preserve">"مساحة الشقة : 122 م2_x000D_
الشقة في الطابق الاول_x000D_
"_x000D_
</t>
  </si>
  <si>
    <t>https://maps.app.goo.gl/Ynh1ckaYSg13YR5B6</t>
  </si>
  <si>
    <t xml:space="preserve">الشقة الشمالية من الطابق الاول عدا سطحها </t>
  </si>
  <si>
    <t xml:space="preserve">الشقة من طابق الثالث عدا سطحه </t>
  </si>
  <si>
    <t>https://maps.app.goo.gl/qcJ3aB7TRQRtsns16</t>
  </si>
  <si>
    <t xml:space="preserve">طابق اول مع حق الاعتلاء </t>
  </si>
  <si>
    <t>https://maps.app.goo.gl/nxs148FYHskVkgr49</t>
  </si>
  <si>
    <t xml:space="preserve">طابق ارضي شقة شمالية عدا السطح </t>
  </si>
  <si>
    <t>"مساحة الشقة : 125 م2_x000D_
الشقة تقع في الطابق الثاني (عدا حق الاعتلاء)"</t>
  </si>
  <si>
    <t>https://maps.app.goo.gl/8CfoQbUqLcogbtar5</t>
  </si>
  <si>
    <t xml:space="preserve">الشقة الشمالية من الطابق الثاني مع السطح </t>
  </si>
  <si>
    <t>https://maps.app.goo.gl/ivM51wLEkSgrXEZZ8</t>
  </si>
  <si>
    <t>"مساحة الشقة : 86 م2_x000D_
الشقة تقع في الطابق الثالث</t>
  </si>
  <si>
    <t>https://maps.app.goo.gl/XxBa8rnSbA42apRNA</t>
  </si>
  <si>
    <t xml:space="preserve">طابق تسوية الأول عدا سطحه شقة غربية </t>
  </si>
  <si>
    <t xml:space="preserve">طابق ثالث عدا سطحه شقة وسطى_x000D_
</t>
  </si>
  <si>
    <t>https://maps.app.goo.gl/L5sfg8uGv3JRWrX9A</t>
  </si>
  <si>
    <t xml:space="preserve">الطابق الثالث عدا سطحه شقة غربية والسطح خدمات_x000D_
</t>
  </si>
  <si>
    <t>https://truemarkets3d.net/3d-virtual-tour/housingbank-realestate/phase3/aq-re-100669/index.html</t>
  </si>
  <si>
    <t>نعم</t>
  </si>
  <si>
    <t>https://maps.app.goo.gl/VpigZNcwwamvb6Sx5</t>
  </si>
  <si>
    <t>https://youtu.be/opZG8EsqJq4</t>
  </si>
  <si>
    <t xml:space="preserve">طابق ارضي شقة غربية بنايه وسطى عدا سطحها </t>
  </si>
  <si>
    <t xml:space="preserve">طابق ثالث بناية جنوبية عدا سطحه شقة شمالية والسطح خدمات مشتركة </t>
  </si>
  <si>
    <t>https://maps.app.goo.gl/SB8wU69enw42vbf58</t>
  </si>
  <si>
    <t xml:space="preserve">طابق تسوية عدا سطحة شقة شمالية _x000D_
</t>
  </si>
  <si>
    <t>https://maps.app.goo.gl/NsLS8iU65jAWVMjE9</t>
  </si>
  <si>
    <t xml:space="preserve">طابق اول عدا سطحه_x000D_
</t>
  </si>
  <si>
    <t>https://maps.app.goo.gl/sUx9eLQiJ9ci4AGQ6</t>
  </si>
  <si>
    <t xml:space="preserve">طابق تسوية شقة جنوبية عدا سطحه </t>
  </si>
  <si>
    <t>https://truemarkets3d.net/3d-virtual-tour/housingbank-realestate/phase3/aq-re-100107/index.html</t>
  </si>
  <si>
    <t>https://maps.app.goo.gl/UCxzHEFFf2i1wE8n7</t>
  </si>
  <si>
    <t xml:space="preserve">الشقة الجنوبية طابق الاول بناية جنوبية الشقة ضمن البناء الجنوبي له واجهتين من الحجر </t>
  </si>
  <si>
    <t>https://maps.app.goo.gl/PqnSnwt8DfiB5KAq9</t>
  </si>
  <si>
    <t>سطح الطابق الثالث شقة شرقيه</t>
  </si>
  <si>
    <t>https://maps.app.goo.gl/4Un7d65BjFH1Tevo6</t>
  </si>
  <si>
    <t xml:space="preserve">قطعة ارض مقام عليها بناء مكون من بناء سكني من الامده والطوب المقصور مؤلف من طابقين تسوية عظم 25م2 وطابق ارضي 177م2 </t>
  </si>
  <si>
    <t>https://maps.app.goo.gl/dGHq4epphoU5ULie9</t>
  </si>
  <si>
    <t xml:space="preserve"> طابق الثالث شقة غربية عدا السطح </t>
  </si>
  <si>
    <t>"_x000D_
مساحة الشقة : 161 م2_x000D_
الشقة تقع في الطابق الثالث"</t>
  </si>
  <si>
    <t>https://maps.app.goo.gl/TPrXW1EDVQ2waGSw8</t>
  </si>
  <si>
    <t xml:space="preserve">طابق ثاني وثالث عدا سطحه بناء شرقي الثاني 111م وقيمته 2775 دينار وثالث 92م وقيمته 2300 دينار يتبع لع تراس 19م وقيمته 190 دينار والسطح خدمات مشتركة_x000D_
</t>
  </si>
  <si>
    <t xml:space="preserve">"مساحة الشقة : 163 م2_x000D_
الشقة في الطابق الثاني_x000D_
"_x000D_
</t>
  </si>
  <si>
    <t>https://maps.app.goo.gl/36qMcFscNxQ49Z9y9</t>
  </si>
  <si>
    <t>الطابق الثاني عدا سطحه شقة شرقية مساحتها 150م2.</t>
  </si>
  <si>
    <t>https://maps.app.goo.gl/v8QHAXyBeqSDBGHJ9</t>
  </si>
  <si>
    <t>"مساحة الشقة : 158 م2_x000D_
الشقة في الطابق الثالث (الشرقية)</t>
  </si>
  <si>
    <t>https://truemarkets3d.net/3d-virtual-tour/housingbank-realestate/phase3/aq-re-100296/index.html</t>
  </si>
  <si>
    <t>https://maps.app.goo.gl/QtRiHXsHnoZrmjbS7</t>
  </si>
  <si>
    <t>الشقة رقم 212 قطعة الارض رقم 257 من اراضي اربد وهي الشقة الشمالية من الطابق الاول عدا سطحها</t>
  </si>
  <si>
    <t>https://maps.app.goo.gl/uaa27MgRyaTBNXWC6</t>
  </si>
  <si>
    <t xml:space="preserve">الشقة الشمالية من الطابق الثالث عدا سطحها </t>
  </si>
  <si>
    <t>https://maps.app.goo.gl/GAujN5Ln8H6SXLUK6</t>
  </si>
  <si>
    <t xml:space="preserve">الشقة الشرقية من طابق التسوية عدا سطحها بناء شرقي </t>
  </si>
  <si>
    <t>طابق ثالث شقة شمالية عدا سطحها والسطح خدمات مشتركة</t>
  </si>
  <si>
    <t>https://maps.app.goo.gl/f5s35FVrWbP37fTZ6</t>
  </si>
  <si>
    <t xml:space="preserve">طابق ثالث عدا السطح شقة شرقية وسطح الطابق الثالث خدمات مشتركة_x000D_
</t>
  </si>
  <si>
    <t>https://maps.app.goo.gl/vHFYZFYjc8xbosCz7</t>
  </si>
  <si>
    <t>الطابق الأرضي - شقة شرقية بناية جنوبية - اربد</t>
  </si>
  <si>
    <t>https://truemarkets3d.net/3d-virtual-tour/housingbank-realestate/phase3/aq-re-100295/index.html</t>
  </si>
  <si>
    <t>https://maps.app.goo.gl/7D3fSWHtsXY6KeNr8</t>
  </si>
  <si>
    <t xml:space="preserve">الشقة رقم سطح الطابق الارضي عدا حق الاعتلاء للبائع زكي شقة شمالية الشقة ضمن بناء له ثلاثة واجهات من الحجر مؤلف من طابقين الشقة مشغوله من قبل المالك السابق </t>
  </si>
  <si>
    <t>https://maps.app.goo.gl/pHxLANYNf5vhEM3m9</t>
  </si>
  <si>
    <t xml:space="preserve">طابق ثالث عدا سطحه شقة جنوبية والسطح منافع مشتركة_x000D_
</t>
  </si>
  <si>
    <t>https://truemarkets3d.net/3d-virtual-tour/housingbank-realestate/phase3/aq-re-100661/index.html</t>
  </si>
  <si>
    <t>https://maps.app.goo.gl/pGAVMdEPoCjS4GaAA</t>
  </si>
  <si>
    <t>https://youtu.be/beTr7DsGWVw</t>
  </si>
  <si>
    <t>مساحة الشقة : 193 م2_x000D_
الشقة في الطابق الأرضي</t>
  </si>
  <si>
    <t>https://maps.app.goo.gl/2GDfBetfSssmAttz7</t>
  </si>
  <si>
    <t xml:space="preserve">الشقة الجنوبية الغربية من الطابق الارضي والاول عدا سطح دوبلكس كل طابق 135م2 </t>
  </si>
  <si>
    <t>https://truemarkets3d.net/3d-virtual-tour/housingbank-realestate/phase3/aq-re-100859/index.html</t>
  </si>
  <si>
    <t>https://maps.app.goo.gl/zSEA5XpME1wWKdWV7</t>
  </si>
  <si>
    <t>https://youtu.be/D8Y4KRclEZE</t>
  </si>
  <si>
    <t xml:space="preserve">طابق ارضي تحت جزء منه تسوية (دبلكس شقة جنوبية عدا سطحه مساحة التسوية 128م2 </t>
  </si>
  <si>
    <t>https://maps.app.goo.gl/2w2uVt4FemXAGDpU8</t>
  </si>
  <si>
    <t xml:space="preserve">طابق ارضي شقة جنوبية عدا سطحها </t>
  </si>
  <si>
    <t>https://maps.app.goo.gl/jaBBNXgFKy6muosL9</t>
  </si>
  <si>
    <t xml:space="preserve">الطابق الأول من البناء الشرقي عدا سطحه_x000D_
</t>
  </si>
  <si>
    <t>https://maps.app.goo.gl/Z8sTUpKZ7wExacCM9</t>
  </si>
  <si>
    <t xml:space="preserve">طابق الثاني شقة شرقية عدا سطحها </t>
  </si>
  <si>
    <t>https://maps.app.goo.gl/BcofGf2LbfuPV7aG7</t>
  </si>
  <si>
    <t>الشقة الجنوبية من الطابق الأرضي عدا سطحه</t>
  </si>
  <si>
    <t>https://maps.app.goo.gl/MgPEvYNVbhj5CJcv5</t>
  </si>
  <si>
    <t xml:space="preserve">طابق الثالث عدا سطحه شقة شمالية شرقية بناية شرقية السطح </t>
  </si>
  <si>
    <t xml:space="preserve">الطابق الثالث عدا سطحه بناء جنوبي والسطح منافع مشتركه </t>
  </si>
  <si>
    <t xml:space="preserve">الطابق الثاني عدا سطحه بناء جنوبي </t>
  </si>
  <si>
    <t>https://maps.app.goo.gl/Wf8A3yQxUC3oMq2u5</t>
  </si>
  <si>
    <t xml:space="preserve">طابق الثاني شقة شمالية وسطى شرقية عدا السطح وهي مساحة 70م2 </t>
  </si>
  <si>
    <t>الشقة الشرقية طابق تسوية عدا سطحها الشقة ضمن بناء واجهاته من الحجر مؤلف من 5 طوابق ومخدوم مصعد</t>
  </si>
  <si>
    <t>https://maps.app.goo.gl/m77Qvj7ZQxEDNmgr5</t>
  </si>
  <si>
    <t xml:space="preserve">الشقة الجنوبية الغربية من طابق الثالث عدا سطحها والسطح خدمات مشتركة_x000D_
</t>
  </si>
  <si>
    <t>https://maps.app.goo.gl/CywpcXF2vXUGb5jy8</t>
  </si>
  <si>
    <t xml:space="preserve">طابق ارضي شقة شمالية عدا سطحها بناية شمالية_x000D_
</t>
  </si>
  <si>
    <t>https://maps.app.goo.gl/Snm4Ve9DqVGCaGdZ8</t>
  </si>
  <si>
    <t xml:space="preserve">"مساحة الأرض: 335 م2_x000D_
مساحة العقار الاجمالية : 618 م2_x000D_
التنظيم: تجاري_x000D_
عدد الطوابق :2 طوابق (أرضي + اول)"_x000D_
</t>
  </si>
  <si>
    <t>https://maps.app.goo.gl/8Ujsip4rf9woKEHE7</t>
  </si>
  <si>
    <t xml:space="preserve">قطعة الأرض مقام  عليها طابق ارضي 280م2 طابق اول 280م2 طابق ثاني 180م2_x000D_
</t>
  </si>
  <si>
    <t>https://maps.app.goo.gl/VBdXXByHUnzCPgCt9</t>
  </si>
  <si>
    <t>"مساحة الأرض: 987 م2</t>
  </si>
  <si>
    <t>https://maps.app.goo.gl/ukgkGoMS5VNkiF4s5</t>
  </si>
  <si>
    <t>"مساحة الأرض: 521.640 م2_x000D_
مساحة العقار الاجمالية : 90 م2_x000D_
عدد الطوابق : 1_x000D_
التنظيم : سكن ج"</t>
  </si>
  <si>
    <t>https://maps.app.goo.gl/2UhYhAw9hhAgwC5T9</t>
  </si>
  <si>
    <t xml:space="preserve">قطعة ا رض مساحتها 293م2 مقام عليها بناء من الطوب مساحته 138م2 مؤلف من طابق ارضي_x000D_
</t>
  </si>
  <si>
    <t>https://maps.app.goo.gl/7rGV13aQR42sGvbR8</t>
  </si>
  <si>
    <t xml:space="preserve">الطابق الاول مع سطحه </t>
  </si>
  <si>
    <t xml:space="preserve">القطعة  بمساحة 492 م2_x000D_
</t>
  </si>
  <si>
    <t>https://maps.app.goo.gl/GhUogGQa5hb9EAU99</t>
  </si>
  <si>
    <t xml:space="preserve">قطعة أرض مساحتها 240 م2 مقام عليها بناء من الطوب والاعمدة مؤلف من طابقين ارضي وأول بمساحة بناء إجمالية 190م2_x000D_
</t>
  </si>
  <si>
    <t>https://maps.app.goo.gl/xfueMc3S6FseMnuQ6</t>
  </si>
  <si>
    <t xml:space="preserve">مساحة 299.94 م2 _x000D_
</t>
  </si>
  <si>
    <t>https://maps.app.goo.gl/yrsuFhMg29HqzpgT8</t>
  </si>
  <si>
    <t>مساحة القطعة 1.046</t>
  </si>
  <si>
    <t>https://maps.app.goo.gl/PkpZhJFrJ1mewJSx8</t>
  </si>
  <si>
    <t xml:space="preserve">مساحة الأرض: 492 م2_x000D_
مساحة البناء الاجمالية : 270 م2_x000D_
التنظيم: سكن ج_x000D_
عدد الطوابق: طابقين ( عظم غير مشطب )_x000D_
البناء مقام عام 2016_x000D_
طابق التسوية: مساحته 130 متر يتكون من ثلاث غرف ومطبخ وحمام_x000D_
الطابق الارضي: مساحته 140 متر يتكون من ثلاث غرف ومطبخ وحمام وبلكونة_x000D_
</t>
  </si>
  <si>
    <t>https://maps.app.goo.gl/3msA12hQHzN4nvueA</t>
  </si>
  <si>
    <t xml:space="preserve">قطعة ارض مثلثة غير منتظمة ومقام عليها بناء قديم من الاعمدة والطوب مؤلف من طابق تسوية وطابق ارضي وجزء من طابق اول_x000D_
</t>
  </si>
  <si>
    <t>https://maps.app.goo.gl/rD2UqL6Pq2Rt6Qo18</t>
  </si>
  <si>
    <t>مساحة 835.94 م2</t>
  </si>
  <si>
    <t>https://maps.app.goo.gl/3iiVvKGC3G4U5yro8</t>
  </si>
  <si>
    <t xml:space="preserve">مساحة القطعة 164 م2 </t>
  </si>
  <si>
    <t>https://maps.app.goo.gl/GXBMJhyKyLMJtcxM7</t>
  </si>
  <si>
    <t xml:space="preserve">"مساحة الأرض: 617 م2_x000D_
</t>
  </si>
  <si>
    <t xml:space="preserve">مساحة الارض 214 م2 _x000D_
</t>
  </si>
  <si>
    <t>https://maps.app.goo.gl/AR3euAiFSyfgJSAs9</t>
  </si>
  <si>
    <t xml:space="preserve">بناء سكني مكون من ثلاث طوابق </t>
  </si>
  <si>
    <t>https://maps.app.goo.gl/DtXyaiEjRb94M7aw7</t>
  </si>
  <si>
    <t xml:space="preserve">"مساحة الأرض: 355 م2_x000D_
</t>
  </si>
  <si>
    <t>https://maps.app.goo.gl/LzgdCzGhRyhhgWh18</t>
  </si>
  <si>
    <t xml:space="preserve">مقام على القطعة بناء سكني من الاعمدة والطوب المقصور مؤلف من طابق ارضي بمساحة 140م2 _x000D_
</t>
  </si>
  <si>
    <t>https://maps.app.goo.gl/rWMU2WF1wwsE75ZF8</t>
  </si>
  <si>
    <t xml:space="preserve">مقام على قطعة الأرض بنائين شمالي وبناء جنوبي_x000D_
</t>
  </si>
  <si>
    <t>https://maps.app.goo.gl/TX9RM4fY2Q5KGYjk8</t>
  </si>
  <si>
    <t xml:space="preserve">البناء المقام على القطعة واجهاته من الطوب المقصور ويتكون من أربعة طوابق التسوية 60م2 والارضي 220 م2 والأول 245م2 والثاني 50م2_x000D_
</t>
  </si>
  <si>
    <t>https://maps.app.goo.gl/urg1qZ7SUk8YPixh8</t>
  </si>
  <si>
    <t xml:space="preserve">مقام على القطعة بنائين شرقي وغربي البناء الغربي من الطوب والاعمدة مؤلف من طابقين تسوية 50م2 وطابق ارضي 200م2 والبناء الشرقي عبارة عن مخزن 60م2_x000D_
</t>
  </si>
  <si>
    <t>https://maps.app.goo.gl/STWRURofdNRi6aNY7</t>
  </si>
  <si>
    <t xml:space="preserve">قطعة ارض مقام عليها بناء مكون من طابق ارضي وأول_x000D_
</t>
  </si>
  <si>
    <t xml:space="preserve">قطعة بمساحة 464 م2 _x000D_
</t>
  </si>
  <si>
    <t>https://maps.app.goo.gl/nkSWqjCQP3hoZy576</t>
  </si>
  <si>
    <t>قطعة ارض fمساحة 340 م2</t>
  </si>
  <si>
    <t>https://maps.app.goo.gl/Ajg2cXekAKXmXFrH7</t>
  </si>
  <si>
    <t xml:space="preserve">العقار القائم على قطعة الارض رقم مكون من طابق ارضي مساحة 180م2 وطابق الارضي 145م2 البناء الخلفي الجنوبي 2 من الاعمده والطوب المقصور مؤلف من طابقين طابق تسوية وطابق ارضي </t>
  </si>
  <si>
    <t>https://maps.app.goo.gl/nseKLKQLmz7rJbWt8</t>
  </si>
  <si>
    <t xml:space="preserve">قطعة أرض مساحتها 1834م2 مقام عليها بنائين أحدهما فيلا و الآخر بناء من طابقين الأرضي مخازن تجارية والأول عبارة عن شقة وصالة </t>
  </si>
  <si>
    <t>https://maps.app.goo.gl/yDfoGpQw5inuowEEA</t>
  </si>
  <si>
    <t>قطعة ارض مقام عليها بناء مكون من واجهات من الحجر ويتكون من طابق تسوية بمساحة 181وطابق اول بمساحة 165م2 وطابق ثاني بمساحة 52م2</t>
  </si>
  <si>
    <t xml:space="preserve">"مساحة الأرض: 852 م2_x000D_
</t>
  </si>
  <si>
    <t>https://truemarkets3d.net/3d-virtual-tour/housingbank-realestate/phase3/aq-bld-100175/index.html</t>
  </si>
  <si>
    <t>09.30.2024_14.08.55.jpg, 09.30.2024_14.18.52.jpg, 09.30.2024_14.19.46.jpg, 09.30.2024_14.42.28.jpg, 09.30.2024_15.16.02.jpg, 09.30.2024_15.16.55.jpg, 09.30.2024_15.16.55.jpg, 09.30.2024_15.24.43.jpg</t>
  </si>
  <si>
    <t>https://maps.app.goo.gl/7mzbgBp7QAgt2Bbo8</t>
  </si>
  <si>
    <t xml:space="preserve">قطعة ارض مقام عليها ابنية وانشاءات مسغل كصالة افراح ويوجد مسابح ودرج مغطس والعاب مائية _x000D_
</t>
  </si>
  <si>
    <t>https://maps.app.goo.gl/UgNCnG7BSRKgpzCo9</t>
  </si>
  <si>
    <t xml:space="preserve">قطعة ارض مقام عليها بناء من الاعمدة والطوب مؤلف من طابق ارضي بمساحة 200م2 وتحت منه تسوية بمساحة 19م2  _x000D_
</t>
  </si>
  <si>
    <t xml:space="preserve">العقار القائم على قطعة الارض مؤلف من طابق ارضي 100م2 وطابق اول 80م2 </t>
  </si>
  <si>
    <t>https://maps.app.goo.gl/rw6KdRkUkafAUiVy7</t>
  </si>
  <si>
    <t xml:space="preserve">مساحة الارض 713م2_x000D_
</t>
  </si>
  <si>
    <t>https://maps.app.goo.gl/EDZyqkJzKHTYzeTY6</t>
  </si>
  <si>
    <t>طابق تسوية وارضي مع سطحه بناية شمالية بمساحة 135 م2</t>
  </si>
  <si>
    <t>https://maps.app.goo.gl/ePb1APEtEBEEMrMK9</t>
  </si>
  <si>
    <t xml:space="preserve">قطعة الارض مقام عليها بناء مكون من طابق ارضي وتسوية </t>
  </si>
  <si>
    <t xml:space="preserve">فيلا سكنية خاصة تربلكس 4 واجهات من حجر مؤلفه من طوابق عدد 4 تسوية 249م2 ارضي 249م2 طابق اول 214م2 طابق ثاني 85م2 ثالث 60م2 </t>
  </si>
  <si>
    <t>https://maps.app.goo.gl/P22nSAKpY1y173fX9</t>
  </si>
  <si>
    <t xml:space="preserve">"مساحة الأرض: 661 م2_x000D_
</t>
  </si>
  <si>
    <t>https://truemarkets3d.net/3d-virtual-tour/housingbank-realestate/phase3/aq-bld-100188/index.html</t>
  </si>
  <si>
    <t>09.30.2024_12.20.51.jpg, 09.30.2024_12.21.51.jpg, 09.30.2024_12.36.31.jpg, 09.30.2024_12.43.23.jpg, 09.30.2024_12.45.26.jpg, 09.30.2024_12.55.45.jpg, 09.30.2024_12.56.29.jpg, 09.30.2024_13.11.05.jpg</t>
  </si>
  <si>
    <t xml:space="preserve">3 فلل مقامة على قطعة الارض رقم 512 حوض الرويسه ، كل فيلا مكونة من طابقين وبواقع شقتين </t>
  </si>
  <si>
    <t>09.30.2024_11.01.46.jpg, 09.30.2024_11.02.25.jpg, 09.30.2024_11.03.08.jpg, 09.30.2024_11.04.15.jpg, 09.30.2024_11.04.56.jpg, 09.30.2024_11.05.50.jpg, 09.30.2024_11.06.38.jpg, 09.30.2024_11.14.57.jpg, 09.30.2024_11.15.36.jpg, 09.30.2024_11.16.03.jpg</t>
  </si>
  <si>
    <t>https://maps.app.goo.gl/CKxCcy4DKNVycDsc9</t>
  </si>
  <si>
    <t>مساحة الارض 12938 م2</t>
  </si>
  <si>
    <t>https://truemarkets3d.net/3d-virtual-tour/housingbank-realestate/phase3/aq-bld-1002151/index.html</t>
  </si>
  <si>
    <t>09.30.2024_11.01.46.jpg, 09.30.2024_11.02.25.jpg, 09.30.2024_11.03.08.jpg, 09.30.2024_11.04.15.jpg, 09.30.2024_11.04.56.jpg, 09.30.2024_11.05.50.jpg, 09.30.2024_11.06.38.jpg, 09.30.2024_13.34.20.jpg, 09.30.2024_13.35.51.jpg, 09.30.2024_13.37.27.jpg</t>
  </si>
  <si>
    <t>https://maps.app.goo.gl/eBPzDJAw2Gem5hgY8</t>
  </si>
  <si>
    <t xml:space="preserve">مساحة الأرض: 417 م2_x000D_
</t>
  </si>
  <si>
    <t>AQ-LND-100109.jpeg</t>
  </si>
  <si>
    <t>https://maps.app.goo.gl/dpR5Bfw38M44h4Xm8</t>
  </si>
  <si>
    <t xml:space="preserve">قطعة ارض سليخ من نوع ملك و مساحنها 903 م2 </t>
  </si>
  <si>
    <t>AQ-LND-100245.jpeg</t>
  </si>
  <si>
    <t>https://maps.app.goo.gl/nUG5J3zE6ENvjhgFA</t>
  </si>
  <si>
    <t>قطعة ارض سليخ بمساحة 1419 م2</t>
  </si>
  <si>
    <t>AQ-LND-100246.jpeg</t>
  </si>
  <si>
    <t>https://maps.app.goo.gl/MCYQqVTiARQ5qSDFA</t>
  </si>
  <si>
    <t>قطعة ارض خالية من الانشاءات</t>
  </si>
  <si>
    <t>https://maps.app.goo.gl/mPQUN4L9nYnxsqxg7</t>
  </si>
  <si>
    <t xml:space="preserve">قطعة ارض خاليا من شواغل والموجودت  يوجد بها شجر زيتون فقط </t>
  </si>
  <si>
    <t xml:space="preserve">قطعة ارض خالية من الأبنية والانشاءات ومزروعة أشجار الزيتون_x000D_
</t>
  </si>
  <si>
    <t xml:space="preserve">ارض مساحتها - 5,211 م2 م_x000D_
</t>
  </si>
  <si>
    <t>https://truemarkets3d.net/3d-virtual-tour/housingbank-realestate/phase3/aq-lnd-100227/index.html</t>
  </si>
  <si>
    <t>AQ-LND-100227.jpeg</t>
  </si>
  <si>
    <t>https://maps.app.goo.gl/GTbJz9ECJLSW5v8A7</t>
  </si>
  <si>
    <t xml:space="preserve">ارض مساحتها - 103,453 م2 </t>
  </si>
  <si>
    <t>AQ-LND-100225.jpeg</t>
  </si>
  <si>
    <t>https://maps.app.goo.gl/wFe8mHvW4oBTUnKr7</t>
  </si>
  <si>
    <t>قطعة ارض خالية مملوكة على المشاع ل 27 شريك</t>
  </si>
  <si>
    <t>قطعة ارض خالية من الأبنية والانشاءات  مساحتها 2459 م2</t>
  </si>
  <si>
    <t>AQ-LND-100139.jpeg</t>
  </si>
  <si>
    <t>https://maps.app.goo.gl/MSyZXNh45ZbK4AJR9</t>
  </si>
  <si>
    <t xml:space="preserve">قطعة ارض سليخ من نوع ملك و مساحنها 680 م2 </t>
  </si>
  <si>
    <t>AQ-LND-100244.jpeg</t>
  </si>
  <si>
    <t>https://maps.app.goo.gl/tLr9oo68MBLNFzLNA</t>
  </si>
  <si>
    <t xml:space="preserve">مزرعة بمساحة 11507م2 </t>
  </si>
  <si>
    <t>https://truemarkets3d.net/3d-virtual-tour/housingbank-realestate/phase3/aq-lnd-100294/index.html</t>
  </si>
  <si>
    <t>AQ-LND-100294.jpeg</t>
  </si>
  <si>
    <t>قطعة أرض مساحتها 613.930م2 مقام عليها بناء سكن ريفي مساحته : 124م2_x000D_
التنظيم: سكن ج</t>
  </si>
  <si>
    <t>https://maps.app.goo.gl/qccUBmfQyxV8jbS37</t>
  </si>
  <si>
    <t>قطعة ارض مساحتها 502 م2 غير منتظمة الشكل وشبه مستوية ومقام عليها بناء من الاعمدة والطوب والخرسانة المسلحة ومؤلف من طابقين مساحته 280 م2</t>
  </si>
  <si>
    <t>https://maps.app.goo.gl/jdP9mhJeqY1ZVuzt5</t>
  </si>
  <si>
    <t>مساحة 1774م2"</t>
  </si>
  <si>
    <t>https://maps.app.goo.gl/7LcX3touGJ2D87889</t>
  </si>
  <si>
    <t xml:space="preserve">الشقة الجنوبية الشرقية من طابق التسوية الثانية عدا سطحها </t>
  </si>
  <si>
    <t>https://maps.app.goo.gl/6RndwJPwZpYGEEyaA</t>
  </si>
  <si>
    <t xml:space="preserve">الشقة الجنوبية كم طابق التسوية الثانية عدا سطحها_x000D_
</t>
  </si>
  <si>
    <t>https://truemarkets3d.net/3d-virtual-tour/housingbank-realestate/phase3/aq-re-100660/index.html</t>
  </si>
  <si>
    <t>https://maps.app.goo.gl/7L2MvjC9BBSDj8EC7</t>
  </si>
  <si>
    <t>https://youtu.be/xZ0pn7-7ITk</t>
  </si>
  <si>
    <t>الشقة الغربية من طابق التسوية الثانية عدا سطحها</t>
  </si>
  <si>
    <t>https://truemarkets3d.net/3d-virtual-tour/housingbank-realestate/phase3/aq-re-100572/index.html</t>
  </si>
  <si>
    <t>https://maps.app.goo.gl/8T2GeRGwHai9fGQ79</t>
  </si>
  <si>
    <t>https://youtu.be/yv2fVCxQgQk</t>
  </si>
  <si>
    <t>الشقة الشرقية من طابق التسوية الاولى عدا سطحها / السلط حوض البقعان 42 مساحتها 226م</t>
  </si>
  <si>
    <t>https://truemarkets3d.net/3d-virtual-tour/housingbank-realestate/phase3/aq-re-100698/index.html</t>
  </si>
  <si>
    <t>https://maps.app.goo.gl/yvsNowNAet4CtjyT8</t>
  </si>
  <si>
    <t xml:space="preserve">الشقة الغربية الوسطى من الطابق التسوية الثانية عدا سطحها </t>
  </si>
  <si>
    <t>https://truemarkets3d.net/3d-virtual-tour/housingbank-realestate/phase3/aq-re-100105/index.html</t>
  </si>
  <si>
    <t xml:space="preserve">الشقة الغربية من الطابق التسوية الأولى عدا سطحها_x000D_
</t>
  </si>
  <si>
    <t>"مساحة الشقة : 208 م2_x000D_
الشقة في الطابق الأرضي</t>
  </si>
  <si>
    <t>https://truemarkets3d.net/3d-virtual-tour/housingbank-realestate/phase3/aq-re-100012/index.html</t>
  </si>
  <si>
    <t>https://maps.app.goo.gl/Jx9oW4LuchHHL7Gw7</t>
  </si>
  <si>
    <t xml:space="preserve">الشقة السابعة  من الطابق الاول عدا سطحها المعتبر منافع مشتركة _x000D_
</t>
  </si>
  <si>
    <t>https://truemarkets3d.net/3d-virtual-tour/housingbank-realestate/phase3/aq-re-100393/index.html</t>
  </si>
  <si>
    <t>https://maps.app.goo.gl/st6yJMPHUVDvTCzK8</t>
  </si>
  <si>
    <t xml:space="preserve">الشقة الرابعة من الطابق الأول عدا سطحها _x000D_
</t>
  </si>
  <si>
    <t xml:space="preserve">الشقة الثالثة من الطابق الروف عدا سطحها المعتبر منافع مشتركة _x000D_
</t>
  </si>
  <si>
    <t xml:space="preserve">الشقة الثانية من الطابق الأول عدا سطحها _x000D_
</t>
  </si>
  <si>
    <t xml:space="preserve">الشقة الأولى من الطابق الأول عدا سطحها _x000D_
</t>
  </si>
  <si>
    <t xml:space="preserve">الشقة الثالثة من الطابق الأول عدا سطحها _x000D_
</t>
  </si>
  <si>
    <t xml:space="preserve">الشقة الخامسة من الطابق الأرضي عدا سطحها _x000D_
</t>
  </si>
  <si>
    <t xml:space="preserve">الشقة الثامنة من الطابق الأرضي عدا سطحها _x000D_
</t>
  </si>
  <si>
    <t xml:space="preserve">الشقة السادسة  من الطابق الارضي عدا سطحها  المعتبر منافع مشتركة_x000D_
</t>
  </si>
  <si>
    <t xml:space="preserve">الشقة الخامسة من الطابق الأول عدا سطحها المعتبر منافع مشتركة _x000D_
</t>
  </si>
  <si>
    <t xml:space="preserve">الشقة الغربية من الطابق الثالث عدا سطحها المعتبر منافع مشتركة_x000D_
</t>
  </si>
  <si>
    <t>https://truemarkets3d.net/3d-virtual-tour/housingbank-realestate/phase3/aq-re-100656/index.html</t>
  </si>
  <si>
    <t>https://youtu.be/PfMN3FxLFHg</t>
  </si>
  <si>
    <t xml:space="preserve">الشقة الرابعة من طابق الروف عدا سطحها المعتبر منافع مشتركة _x000D_
</t>
  </si>
  <si>
    <t xml:space="preserve">الشقة الأولى من طابق الروف عدا سطحها المعتبر منافع مشتركة _x000D_
</t>
  </si>
  <si>
    <t xml:space="preserve">الشقة الثانية من طابق الروف عدا سطحها المعتبر منافع مشتركة _x000D_
</t>
  </si>
  <si>
    <t xml:space="preserve">الشقة الرابعة من الطابق الأرضي عدا سطحها _x000D_
</t>
  </si>
  <si>
    <t xml:space="preserve">الشقة السابعة  من الطابق الارضي عدا سطحها المعتبر منافع مشتركة _x000D_
</t>
  </si>
  <si>
    <t xml:space="preserve">الشقة الأولى من الطابق الأرضي عدا سطحها _x000D_
</t>
  </si>
  <si>
    <t>الشقة الثالثة من الطابق الأرضي عدا سطحها ويتبع لها تراس مكشوف عدد 2 بمساحة 15م2</t>
  </si>
  <si>
    <t xml:space="preserve">الشقة الثانية من الطابق الأرضي عدا سطحها _x000D_
</t>
  </si>
  <si>
    <t xml:space="preserve">الشقة الثامنة من الطابق الأول عدا سطحها المعتبر منافع مشتركة _x000D_
</t>
  </si>
  <si>
    <t xml:space="preserve">الشقة السادسة  من الطابق الاول عدا سطحها _x000D_
</t>
  </si>
  <si>
    <t>المساحة 14.500م2</t>
  </si>
  <si>
    <t>https://maps.app.goo.gl/21hMGwEtcZe6gXuB7</t>
  </si>
  <si>
    <t xml:space="preserve">قطعة ارض  مساحة 2844م2 _x000D_
</t>
  </si>
  <si>
    <t>https://maps.app.goo.gl/ywwSPGuWCw49182z5</t>
  </si>
  <si>
    <t xml:space="preserve">قطعة أرض مساحتها 288 م2 _x000D_
</t>
  </si>
  <si>
    <t>https://maps.app.goo.gl/knbKAjXgj6dbL4LRA</t>
  </si>
  <si>
    <t>قطعة ارض بمساحة 526 م2</t>
  </si>
  <si>
    <t>مساحة القطعة 591 م2</t>
  </si>
  <si>
    <t>https://maps.app.goo.gl/a5gfNksMteUj8qPn7</t>
  </si>
  <si>
    <t xml:space="preserve">قطعة  بمساحة 301.910 م2 . </t>
  </si>
  <si>
    <t>https://maps.app.goo.gl/a2JyeiPQoTnDutsu5</t>
  </si>
  <si>
    <t xml:space="preserve">قطعة ارض مبمساحة 854م2  </t>
  </si>
  <si>
    <t>https://maps.app.goo.gl/hsuPpW1NdMPLGMrb9</t>
  </si>
  <si>
    <t>"مساحة الأرض: 11,961.980 م2_x000D_
مساحة العقار الاجمالية : 1000 م2_x000D_
عدد الطوابق : 3 (أرضي + اول + ثاني + رووف)_x000D_
التنظيم: زراعي خارج حدود التنظيم"</t>
  </si>
  <si>
    <t>https://maps.app.goo.gl/Ya9YEaFjkS2haHkf9</t>
  </si>
  <si>
    <t xml:space="preserve">قطعة ارض رقم 71 بمساحة 811.490 م2 من نوع الملك خارج التنظيم / ومؤمنة بالخدمات ويوجد ضمن القطعة ساحات وممرات مبلطة واحواض زراعية وبناء رئيسي  مساحته 134 م2 مكون من طابق واحد جميع واجهاته حجر. </t>
  </si>
  <si>
    <t>https://truemarkets3d.net/3d-virtual-tour/housingbank-realestate/phase3/aq-lnd-100293/index.html</t>
  </si>
  <si>
    <t>ابو الزيغان.jpeg</t>
  </si>
  <si>
    <t xml:space="preserve">"مساحة الأرض: 2165 م2_x000D_
مساحة العقار الاجمالية : 788 م2_x000D_
عدد الطوابق : 4 (تسوية + أرضي + اول + رووف)"_x000D_
</t>
  </si>
  <si>
    <t>https://www.true-markets.net/media/360tour/housing-bank/413/index.html</t>
  </si>
  <si>
    <t>https://maps.app.goo.gl/TP9Z9iRqcqTAfn4d6</t>
  </si>
  <si>
    <t>البناء القاءم على ارض 71</t>
  </si>
  <si>
    <t>https://maps.app.goo.gl/s4P155pLxiymNv7CA</t>
  </si>
  <si>
    <t xml:space="preserve">"قطعة ارض مساحتها 7,325 م2 </t>
  </si>
  <si>
    <t>https://maps.app.goo.gl/vT5nbsBdYxuwVCdS6</t>
  </si>
  <si>
    <t xml:space="preserve">قطعة أرض خالية من الإنشاءات </t>
  </si>
  <si>
    <t>AQ-LND-100205.jpeg</t>
  </si>
  <si>
    <t>https://maps.app.goo.gl/PtGf9AVBkxouppTQ6</t>
  </si>
  <si>
    <t>قطعة أرض خالية من الإنشاءات</t>
  </si>
  <si>
    <t>AQ-LND-100203.jpeg, AQ-LND-100203.jpeg</t>
  </si>
  <si>
    <t>https://maps.app.goo.gl/BUJsxtcTZ6v2LhbFA</t>
  </si>
  <si>
    <t>AQ-LND-100206.jpeg</t>
  </si>
  <si>
    <t>https://maps.app.goo.gl/gF16esqLTh2gm6z58</t>
  </si>
  <si>
    <t xml:space="preserve">قطعة ارض مساحتها 1,379.950 م2 تنظيمها سكن ب و منتظمة الشكل_x000D_
</t>
  </si>
  <si>
    <t>AQ-LND-100134.jpeg</t>
  </si>
  <si>
    <t>https://maps.app.goo.gl/kZpH61LGfRkMrLKi6</t>
  </si>
  <si>
    <t xml:space="preserve">"أرض 1200 متر ضمن حدود بلدية العارضة الجديدة - منطقة بيوضة تنظيمها سكن ب ._x000D_
واصلها جميع الخدمات منتظمة الشكل , كاشفة ومطلة مزروعة ببعض أشجار الزيتون"_x000D_
</t>
  </si>
  <si>
    <t>AQ-LND-100494.jpeg</t>
  </si>
  <si>
    <t>https://maps.app.goo.gl/PKzqrQdSNAr7rMaD6</t>
  </si>
  <si>
    <t>AQ-LND-100199.jpeg</t>
  </si>
  <si>
    <t>https://maps.app.goo.gl/ELEPRu9hwMySenZL7</t>
  </si>
  <si>
    <t>"مساحة الأرض : 5250 م2_x000D_
تنظيم الأرض : سكن أ"</t>
  </si>
  <si>
    <t>AQ-LND-100453.jpeg</t>
  </si>
  <si>
    <t>https://maps.app.goo.gl/RndMpfcw8dcJCyQn6</t>
  </si>
  <si>
    <t>حصص في قطعة الارض رقم 21 حوض 19 عبية من اراضي السلط</t>
  </si>
  <si>
    <t>حصص في قطعة الارض رقم 22 حوض 19 عبية من اراضي السلط</t>
  </si>
  <si>
    <t>حصص في قطعة الارض رقم 138 حوض عبية رقم 19 من اراضي السلط</t>
  </si>
  <si>
    <t xml:space="preserve">حصص في قطعة ارض رقم 17 حوض عبية 19 من اراضي السلط </t>
  </si>
  <si>
    <t>عبية.jpeg</t>
  </si>
  <si>
    <t>حصص في قطعة ارض رقم 16 حوض عبية 19 من اراضي السلط</t>
  </si>
  <si>
    <t>حصص في قطعة ارض رقم 81 حوض ام العرايس 18 من اراضي السلط</t>
  </si>
  <si>
    <t>حصص في قطعة ارض رقم 11 حوض ام العرايس 18 من اراضي السلط</t>
  </si>
  <si>
    <t>ام العرايس.jpeg</t>
  </si>
  <si>
    <t>حصص في قطعة الارض رقم 24 حوص عبية 19 من اراضي السلط</t>
  </si>
  <si>
    <t>حصص في قطعة ارض رقم 7 حوض ام العرايس 18 من اراضي السلط</t>
  </si>
  <si>
    <t>حصص في قطعة الارض رقم 26 حوض 19 عبية من اراضي السلط</t>
  </si>
  <si>
    <t>حصص في قطعة الارض رقم 136 حوض عبية رقم 19 من اراضي السلط</t>
  </si>
  <si>
    <t>حصص في قطعة ارض رقم 8 حوض ام العرايس 18 من اراضي السلط</t>
  </si>
  <si>
    <t>حصص في قطعة الارض رقم 27 حوض 19 عبية من اراضي السلط</t>
  </si>
  <si>
    <t>حصص في قطعة ارض رقم 15 حوض عبيه 19 من اراضي السلط</t>
  </si>
  <si>
    <t>حصص في قطعة ارض رقم 19 حوض عبية 19 من راضي السلط</t>
  </si>
  <si>
    <t>حصص في قطعة ارض رقم 11 حوض عبية 19 من اراضي السلط</t>
  </si>
  <si>
    <t>حصص في قطعة ارض رقم 14 حوض عبية 19 من اراضي السلط</t>
  </si>
  <si>
    <t>حصص في قطعة الارض رقم 23 حوض عبية 19 من اراضي السلط</t>
  </si>
  <si>
    <t>حصص في قطعة ارض رقم 20 حوض ام العرايس رقم 18 من اراضي السلط</t>
  </si>
  <si>
    <t>AQ-LND-100899.jpeg</t>
  </si>
  <si>
    <t>حصص في قطعة ارض رقم 9 حوض ام العرايس 18 من اراضي السلط</t>
  </si>
  <si>
    <t>حصص في قطعة ارض رقم 21 حوض ام العرايس من اراضي السلط</t>
  </si>
  <si>
    <t>حصص في قطعة الارض رقم 41 حوض عبية 19 من اراضي السلط</t>
  </si>
  <si>
    <t xml:space="preserve"> حصص في قطعة ارض رقم 19 حوض ام العرايس من اراضي السلط</t>
  </si>
  <si>
    <t>حصص في قطعة ارض رقم 18 حوض ام العرايس من اراضي السلط</t>
  </si>
  <si>
    <t>حصص في قطعة الارض رقم 134 حوض عبية رقم 19 من ارضاي السلط</t>
  </si>
  <si>
    <t>183301 حصة من اصل 1000000 حصة من قطعة الارض رقم 3 حوض ام العرايس 18 من اراضي السلط .</t>
  </si>
  <si>
    <t>AQ-LND-100889.jpeg, ام العرايس.jpeg</t>
  </si>
  <si>
    <t>https://maps.app.goo.gl/6Ex8gmUQJMvDk2tq8</t>
  </si>
  <si>
    <t>حصص في قطعة الارض رقم 42 حوض عبية رقم 19 من اراضي السلط</t>
  </si>
  <si>
    <t>حصص في قطعة ارض رقم 17 حوض ام العرايس 18 من اراضي السلط</t>
  </si>
  <si>
    <t xml:space="preserve"> حصص في قطعة ارض رقم 16 حوض ام العرايس 18 من اراضي السلط</t>
  </si>
  <si>
    <t>حصص في قطعة الارض رقم 25 حوض 19 عبية من اراضي السلط</t>
  </si>
  <si>
    <t>حصص في قطعة ارض رقم 18 حوض عبية 19 من اراضي السلط</t>
  </si>
  <si>
    <t xml:space="preserve">قطعة ارض رقم 69 بمساحة 931.890 م2 من نوع الملك خارج التنظيم / سليخ خالية من الأبنية و الانشاءات_x000D_
</t>
  </si>
  <si>
    <t>AQ-LND-100293.jpeg</t>
  </si>
  <si>
    <t xml:space="preserve">قطعة ارض بمساحة 823.200 م2 من نوع الملك خارج التنظيم / سليخ خالية من الأبنية و الانشاءات_x000D_
</t>
  </si>
  <si>
    <t>AQ-LND-100358.jpeg</t>
  </si>
  <si>
    <t>https://maps.app.goo.gl/GiY333LJhkiSAerD7</t>
  </si>
  <si>
    <t xml:space="preserve">سطح الطابق الأول_x000D_
</t>
  </si>
  <si>
    <t>https://maps.app.goo.gl/Lr51HveMk3JcArJx8</t>
  </si>
  <si>
    <t xml:space="preserve">لشقة الشمالية الغربية من الطابق الأول عدا سطحها_x000D_
</t>
  </si>
  <si>
    <t>https://maps.app.goo.gl/Q4DrXSo4TcHdgM757</t>
  </si>
  <si>
    <t>الشقة الشمالية الغربية من الطابق الأول مع سطحها ومساحته 100 م2 ويتبع لها تراس مكشوف مساحته 58م2.</t>
  </si>
  <si>
    <t>مساحة الشقة : 122 م2_x000D_
التنظيم: سكن د</t>
  </si>
  <si>
    <t>https://maps.app.goo.gl/Vofq87D3rfv8wWtp8</t>
  </si>
  <si>
    <t xml:space="preserve">الشقة الشمالية الشرقية من الطابق الأول رقمها 113 بمساحة 91 م2_x000D_
</t>
  </si>
  <si>
    <t>https://maps.app.goo.gl/q8WZkNESRigaBnKe6</t>
  </si>
  <si>
    <t>الشقة الغربية من الطابق الاول عدا سطحها</t>
  </si>
  <si>
    <t>https://maps.app.goo.gl/h9vkGZTUK3shCgVa7</t>
  </si>
  <si>
    <t>الشقة الجنوبية الشرقية من الطابق الاول عدا سطحها</t>
  </si>
  <si>
    <t>https://maps.app.goo.gl/kSmHhrt5qJAVUmas7</t>
  </si>
  <si>
    <t xml:space="preserve">الشقة الجنوبية من الطابق الأول عدا سطحها_x000D_
</t>
  </si>
  <si>
    <t xml:space="preserve">الشقة الجنوبية الشرقية من طابق الاول عدا سطحها </t>
  </si>
  <si>
    <t>الشقة الشرقية من الطابق الأرضي عدا سطها.</t>
  </si>
  <si>
    <t>الشقة الشرقية من طابق التسوية عدا سطحها مساحتها 96م2 .</t>
  </si>
  <si>
    <t>الشقة الشمالية الغربية من الطابق الأول</t>
  </si>
  <si>
    <t>https://maps.app.goo.gl/wx7BCUua3V5JrTFD7</t>
  </si>
  <si>
    <t xml:space="preserve">الشقة الشمالية الشرقية من الطابق الثاني عدا سطحها </t>
  </si>
  <si>
    <t>https://maps.app.goo.gl/CaAziHTC1ykb6X9UA</t>
  </si>
  <si>
    <t>الشقة الجنوبية الشرقية من الطابق الثاني عدا سطحها</t>
  </si>
  <si>
    <t>https://maps.app.goo.gl/5GeiL9KaKbAcKz6CA</t>
  </si>
  <si>
    <t>الشقة الجنوبية الشرقية من الطابق الارضي عدا سطحهت</t>
  </si>
  <si>
    <t>https://maps.app.goo.gl/LhEUMhhPFrEyAu7o7</t>
  </si>
  <si>
    <t xml:space="preserve">الشقة الشمالية الشرقية من طابق الاول عدا سطحها </t>
  </si>
  <si>
    <t>القسم الشمالي من طابق التسوية عبارة عن شقة عدا سطحها</t>
  </si>
  <si>
    <t>https://maps.app.goo.gl/pBfKHzuy9FCiy7SL6</t>
  </si>
  <si>
    <t xml:space="preserve">"مساحة الشقة : 122 م2_x000D_
الشقة الشمالية من الطابق الثاني"_x000D_
</t>
  </si>
  <si>
    <t>https://maps.app.goo.gl/xwKUBLp2ahJEjVGXA</t>
  </si>
  <si>
    <t xml:space="preserve">الشقة الغربية من الطابق الثالث عدا سطحها المعتبر خدمات مشتركة_x000D_
</t>
  </si>
  <si>
    <t>https://maps.app.goo.gl/FLwiycD3vFThcT359</t>
  </si>
  <si>
    <t>شقة تقع في الجهة لشمالية الشرقية طابق ثالث عدا سطحها والمعتبر منافع مشتركة بمساحة 147 م2</t>
  </si>
  <si>
    <t>الطابق الأول عدا سطحه</t>
  </si>
  <si>
    <t>https://maps.app.goo.gl/sKYmv21vEuW86YAH9</t>
  </si>
  <si>
    <t xml:space="preserve">الشقة الشرقية من طابق الثالث عدا سطحها المعتبر منافع مشتركه </t>
  </si>
  <si>
    <t>الشقة الغربية من الطابق الثالث عدا سطحها المعتبر خدمات مشتركه من البناء الجنوبي 2 الشقة ضمن البناء الشمالي له واجهة من الحجر مؤلف من 5 طوابق ومخدوم بمصعد .</t>
  </si>
  <si>
    <t xml:space="preserve">الطابق الأول عدا سطحه ويتبع له تراس مكشوف 148م2_x000D_
</t>
  </si>
  <si>
    <t xml:space="preserve">"الشقة تقع في بناية مكونة من 5 طوابق_x000D_
وتقع الشقة بالطابق الاول"_x000D_
</t>
  </si>
  <si>
    <t xml:space="preserve">الشقة الغربية من الطابق الاول عدا سطحها الشقة </t>
  </si>
  <si>
    <t xml:space="preserve">الشقة الجنوبية من طابق طابق الارضي عدا سطحها ويتبع لها تراس مكشوف 19م2 من البناء الغربي </t>
  </si>
  <si>
    <t>https://maps.app.goo.gl/ADdAk1Pb68KLjcqBA</t>
  </si>
  <si>
    <t xml:space="preserve">الشقة الشمالية من طابق الثالث عدا سطحها من البناء الجنوبي المعتبر منافع مشتركه </t>
  </si>
  <si>
    <t xml:space="preserve"> الشقة الغربية من الطابق الثالث عدا سطحها البناء يتكون من خمسة طوابق بمجموع 11 شقة .</t>
  </si>
  <si>
    <t xml:space="preserve">الشقة الجنوبية من طابق الارضي عدا سطحها </t>
  </si>
  <si>
    <t>https://maps.app.goo.gl/K6r9TZZ5Cgvjmcq17</t>
  </si>
  <si>
    <t xml:space="preserve">الشقة الجنوبية من الطابق الثالث عدا سطحها المعتبر منافع مشتركه </t>
  </si>
  <si>
    <t>https://maps.app.goo.gl/fcKBGywg6fqF7Y9v5</t>
  </si>
  <si>
    <t xml:space="preserve">الشقة الشمالية من الطابق الثالث عدا سطحها المعتبر خدمات مشتركه </t>
  </si>
  <si>
    <t>https://maps.app.goo.gl/irVVzZfw1xaBdn2d7</t>
  </si>
  <si>
    <t xml:space="preserve">الشقة الشرقية من الطابق الارضي عدا سطحها ويتبع لها تراس مكشوف مساحته 54م2 </t>
  </si>
  <si>
    <t>https://maps.app.goo.gl/r1jKBj8YNCiGjmpx9</t>
  </si>
  <si>
    <t xml:space="preserve">الشقة الجنوبية الشرقية من طابق الاول عدا سطحها مساحتها 174 م2 </t>
  </si>
  <si>
    <t>https://maps.app.goo.gl/dDsC9GmmpJkgWKw76</t>
  </si>
  <si>
    <t>الطابق الارضي عدا السطح يتبع له تراس مكشوف بمساحة 27م2</t>
  </si>
  <si>
    <t xml:space="preserve">الشقة  الشمالية من طابق التسوية الثانية عدا سطحها </t>
  </si>
  <si>
    <t>https://maps.app.goo.gl/fWA4ea9XrfvHQNHF7</t>
  </si>
  <si>
    <t xml:space="preserve">"_x000D_
مساحة الشقة : 110 م2_x000D_
الشقة في الطابق الثالث_x000D_
"_x000D_
</t>
  </si>
  <si>
    <t>https://truemarkets3d.net/3d-virtual-tour/housingbank-realestate/phase3/aq-re-100026/index.html</t>
  </si>
  <si>
    <t xml:space="preserve">الشقة الغربية الوسطى من الطابق الاول عدا سطحها </t>
  </si>
  <si>
    <t>الشقة الشمالية الشرقية من الطابق الاول عدا سطحها</t>
  </si>
  <si>
    <t xml:space="preserve">الشقة الشمالية من الطابق الأرضي عدا سطحها_x000D_
</t>
  </si>
  <si>
    <t>https://maps.app.goo.gl/owQLz47UghAyxTwP9</t>
  </si>
  <si>
    <t>شقة الطابق الأول عدا سطحه</t>
  </si>
  <si>
    <t>https://maps.app.goo.gl/EtWrAhRRgQJmyjMW9</t>
  </si>
  <si>
    <t xml:space="preserve">سطح الطابق الارضي مع حق الاعتلاء </t>
  </si>
  <si>
    <t xml:space="preserve">الشقة الغربية من الطابق الثاني عدا سطحها     </t>
  </si>
  <si>
    <t xml:space="preserve">قطعة ارض منتظمة الشكل بمساحة 500م2 </t>
  </si>
  <si>
    <t>https://maps.app.goo.gl/Wtgit4Xh7fAnRAdk8</t>
  </si>
  <si>
    <t>"مساحة الأرض: 213 م2_x000D_
مساحة العقار الاجمالية : 335 م2_x000D_
التنظيم: سكن د_x000D_
عدد الطوابق : 2 طوابق (تسوية + أرضي)</t>
  </si>
  <si>
    <t>https://maps.app.goo.gl/YfxZq53PZvNSXBbJ7</t>
  </si>
  <si>
    <t>مساحة القطعة 248 م2</t>
  </si>
  <si>
    <t xml:space="preserve">قطعة ارض مساحتها 836.89 م2  مقام عليها  بناء سكني من الطوب والخرسانة بمساحة 160م2 _x000D_
</t>
  </si>
  <si>
    <t>https://maps.app.goo.gl/rJPRDhdsZx115hDH8</t>
  </si>
  <si>
    <t xml:space="preserve">العقار القائم على قطعة الأرض رقم 2245 حوض بركة برخ رقم 7 قرية البتراوي من اراضي الزرقاء . </t>
  </si>
  <si>
    <t>مساحة الارض 812 م 2</t>
  </si>
  <si>
    <t>https://maps.app.goo.gl/t36xDz5TTRn1P3xS6</t>
  </si>
  <si>
    <t>مساحة القطعة 1188.630 م2</t>
  </si>
  <si>
    <t xml:space="preserve">قطعة بمساحة 1789.430م2. </t>
  </si>
  <si>
    <t>https://maps.app.goo.gl/KGeMnMeLud49eHXGA</t>
  </si>
  <si>
    <t xml:space="preserve">عدد الطوابق: 2 طوابق (ارضي + اول غير مسقوف) </t>
  </si>
  <si>
    <t>https://maps.app.goo.gl/49HWKrFtLFJ9RRUW8</t>
  </si>
  <si>
    <t>مساحة 731 م2</t>
  </si>
  <si>
    <t>https://truemarkets3d.net/3d-virtual-tour/housingbank-realestate/phase3/aq-bld-100279/index.html</t>
  </si>
  <si>
    <t xml:space="preserve">قطعة ارض مقام عليها بناء مكون من 4 طوابق ارضي وأول وثاني وثالث مساحة كل طابق 270م2_x000D_
</t>
  </si>
  <si>
    <t>https://maps.app.goo.gl/RjnTzXu71B6DuHhb6</t>
  </si>
  <si>
    <t xml:space="preserve">"مساحة الأرض: 572.540 م2_x000D_
</t>
  </si>
  <si>
    <t>https://maps.app.goo.gl/eHMbk218CNd2PGtDA</t>
  </si>
  <si>
    <t>مساحة القطعة 389 م2</t>
  </si>
  <si>
    <t>مساحة الارض 405 م2</t>
  </si>
  <si>
    <t>https://maps.app.goo.gl/3reEhsj6DkHv5LKX6</t>
  </si>
  <si>
    <t>"مساحة الأرض: 897 م2_x000D_
مساحة العقار الاجمالية : 544 م2_x000D_
عدد الطوابق : 3 طوابق (تسوية + أرضي + اول)"</t>
  </si>
  <si>
    <t>https://truemarkets3d.net/3d-virtual-tour/housingbank-realestate/phase3/aq-bld-100236/index.html</t>
  </si>
  <si>
    <t>https://maps.app.goo.gl/fmmGqj45Lk5UCFKY8</t>
  </si>
  <si>
    <t>مساحة الأرض: 4461 م2_x000D_
مساحة البناء الاجمالية : 1891م2_x000D_
عدد الطوابق : 3 (تسوية + أرضي + اول)_x000D_
التنظيم: سكن ج</t>
  </si>
  <si>
    <t>https://maps.app.goo.gl/bozGkDugUrQAFjoUA</t>
  </si>
  <si>
    <t xml:space="preserve">مساحة الارض 1243 ومساحة البناء 1746  </t>
  </si>
  <si>
    <t>https://maps.app.goo.gl/82dRELJSixjWugLp7</t>
  </si>
  <si>
    <t xml:space="preserve">البناء القائم على قطعة الارض يتالف من التسوية اولى بمساحة 123.06م2 وطابق ارضي بمساحة 344.51م2 واول بمساحة 327.37م2 وبناء ثاني يتالف تسوية بمساحة 123.06 وارضي زينكو بمساحة 301.02م2 ومظله بمساحة 14.98م2 </t>
  </si>
  <si>
    <t>https://maps.app.goo.gl/iF6aizvHoC8wGA8M6</t>
  </si>
  <si>
    <t xml:space="preserve">مقام على القطعة بناء قديم _x000D_
</t>
  </si>
  <si>
    <t>https://maps.app.goo.gl/7QcUK4DzQanPbPWt7</t>
  </si>
  <si>
    <t xml:space="preserve">قطعة ارض مقام عليها بناء مكون من طابقين طابق ارضي وأول بمساحة 104م2 لكل طابق _x000D_
</t>
  </si>
  <si>
    <t>https://maps.app.goo.gl/QuYB9zZMbZsDycqt8</t>
  </si>
  <si>
    <t xml:space="preserve">قطعة ارض مساحتها تقارب 10 دونم و مقام عليها عده مباني بمساحات مختلفة _x000D_
</t>
  </si>
  <si>
    <t>https://maps.app.goo.gl/VejcLFyRZYZ8fU9VA</t>
  </si>
  <si>
    <t>"مساحة الأرض: 1,006 م2_x000D_
مساحة العقار الاجمالية : 200 م2_x000D_
عدد الطوابق : 1 (أرضي)_x000D_
التنظيم: سكن أ"</t>
  </si>
  <si>
    <t>https://maps.app.goo.gl/mkMofyR5tFYsJniV8</t>
  </si>
  <si>
    <t>قطعة أرض مقام عليها بناء (فيلا ) مساحة بناء إجمالية 253م2</t>
  </si>
  <si>
    <t>https://maps.app.goo.gl/KFFTPLZmx9WgcFJ3A</t>
  </si>
  <si>
    <t xml:space="preserve">منتظمة الشكل محاطه باسوار من 3 جهات وضمنها ساحات وجلسات مبلطه واحواض مشرة ومظلات قرميد وخشب نافوره وباربيكيو وغرفة خدمات خارجية </t>
  </si>
  <si>
    <t xml:space="preserve">منتظمة الشكل  ضمنها فيلا سكنية بواجهات من الحجر مؤلفة من 3 طوابق تسوية 290م2 ارضي واول دوبلكس 290م2 لكل طابق بمستوى تشطيب جيد جدا </t>
  </si>
  <si>
    <t>القطع أرقام 300 + 301 + 474</t>
  </si>
  <si>
    <t xml:space="preserve">الزرقاء - اراضي الزرقاء - قرية قاع خنا - حوض ضبيعة 3 - مساحتها - 10,000 م2 لوحة 3 خارج التنظيم ومنتظمة الشكل_x000D_
</t>
  </si>
  <si>
    <t>AQ-LND-100283.jpeg</t>
  </si>
  <si>
    <t>https://maps.app.goo.gl/jidFef5beuMf9sheA</t>
  </si>
  <si>
    <t xml:space="preserve">الزرقاء - اراضي الزرقاء - قرية قاع خنا - حوض ضبيعة 3 - مساحتها - 11,784 م2لوحة 3 خارج التنظيم ومنتظمة الشكل_x000D_
</t>
  </si>
  <si>
    <t>AQ-LND-100287.jpeg</t>
  </si>
  <si>
    <t>الزرقاء - اراضي الزرقاء - قرية قاع خنا - حوض ضبيعة 3 - مساحتها - 14,263 م2لوحة 3 خارج التنظيم ومنتظمة الشكل</t>
  </si>
  <si>
    <t>AQ-LND-100290.jpeg</t>
  </si>
  <si>
    <t>https://maps.app.goo.gl/VMbSFeAuZNRaJ7TX9</t>
  </si>
  <si>
    <t xml:space="preserve">القطعة رقم 1203 حوض 2 روض شبيب - خو اراضي الزرقاء قطعة تنظيم تجاري سليخ  يوجد عليها كراج سيارة زينكو </t>
  </si>
  <si>
    <t>AQ-LND-100956.jpeg</t>
  </si>
  <si>
    <t>قطعة رقم 1326 حوض 4 الاعنة سليخ وخالية من الإنشاءات مثلثة الشكل ومنحدرة و بمساحة 537.540</t>
  </si>
  <si>
    <t>AQ-LND-100074.jpeg</t>
  </si>
  <si>
    <t>https://maps.app.goo.gl/p5UeiG7Wqy3ELzHC7</t>
  </si>
  <si>
    <t xml:space="preserve">قطعة ارض زراعية خاليا من الابنية والانشاءات </t>
  </si>
  <si>
    <t>https://maps.app.goo.gl/jw4ME2tEkNe1zotH6</t>
  </si>
  <si>
    <t xml:space="preserve">قطعة ارض خالية من الانشاءات / سليخ_x000D_
</t>
  </si>
  <si>
    <t>AQ-LND-100547.jpeg</t>
  </si>
  <si>
    <t>https://maps.app.goo.gl/sZPBQeHukGbCoZDY9</t>
  </si>
  <si>
    <t xml:space="preserve">قطعة ارض مساحتها 657 م2 سليخ وخالية من الأبنية والانشاءات والأشجار _x000D_
</t>
  </si>
  <si>
    <t>AQ-LND-100159.jpeg</t>
  </si>
  <si>
    <t>https://maps.app.goo.gl/K5ftzPSd6z6MToWU9</t>
  </si>
  <si>
    <t xml:space="preserve">"مساحة الأرض: 26,932 م2_x000D_
</t>
  </si>
  <si>
    <t>AQ-LND-100140.jpeg</t>
  </si>
  <si>
    <t>https://maps.app.goo.gl/MKuNLonKeLB1z1gt9</t>
  </si>
  <si>
    <t xml:space="preserve">قطعة ارض مساحتها 7022 م2 غير منتظمة وتقع على طريق زراعي معبد_x000D_
</t>
  </si>
  <si>
    <t>https://www.true-markets.net/media/360tour/housing-bank/senad/index.html</t>
  </si>
  <si>
    <t>AQ-LND-100239.jpeg</t>
  </si>
  <si>
    <t>https://maps.app.goo.gl/xLymTztC9UYMpxvB6</t>
  </si>
  <si>
    <t xml:space="preserve">قطعة ارض شبه منتظمة مساحتها 23000 م2 ويوجد بها بنائين من الحجر بمساحة 64 م2 وغرفة حارس بمساحة بمساحة 16 م2من طابقين تسوية وارضي وتقع على طريق زراعي معبد_x000D_
</t>
  </si>
  <si>
    <t>AQ-LND-100233.jpeg</t>
  </si>
  <si>
    <t>https://maps.app.goo.gl/jvscFH6ocMSyuvVm7</t>
  </si>
  <si>
    <t xml:space="preserve">قطعة ارض مساحتها 16267 م2 شبه منتظمة وتقع على طريق زراعي معبد_x000D_
</t>
  </si>
  <si>
    <t>AQ-LND-100237.jpeg</t>
  </si>
  <si>
    <t>https://maps.app.goo.gl/q3jNWh9PpsuwTuZM9</t>
  </si>
  <si>
    <t xml:space="preserve">"عقار قائم على قطعة رقم 576 حوض 6 قويحان القرية السخنة" مساحة القطعة 699 م2 مقام عليها بناء من طابقين بمساحة إجمالية 327 م2 _x000D_
</t>
  </si>
  <si>
    <t>https://maps.app.goo.gl/eBjN3nffY4XHPcbF7</t>
  </si>
  <si>
    <t xml:space="preserve">"مساحة الأرض: 501.490 م2_x000D_
مساحة البناء الاجمالية : 307 م2_x000D_
التنظيم: سكن ج_x000D_
عدد الطوابق: 2 طوابق ( ارضي + اول) </t>
  </si>
  <si>
    <t>https://maps.app.goo.gl/wdysZEkQ4eVohZRc8</t>
  </si>
  <si>
    <t xml:space="preserve">طابق التسوية وجزء من سطح طابق التسوية مقام عليه طابق ارضي مساحته 24م قس القسم الشمالي من السطح_x000D_
</t>
  </si>
  <si>
    <t>https://maps.app.goo.gl/rLhjJBoAKcAsRd6y7</t>
  </si>
  <si>
    <t xml:space="preserve">طابق التسوية الأولى عدا سطحه وهي مقامة على قطعة ارض منتظمة الشكل ومخدومه بشارع البناء المقام على قطعة من الاعمده والطوب المقصور البناء يتكون من شقق ومخازن تجارية الشقة على الواقع مقسومة الى شقتين ومؤجرات يوجد رطوبة عالية وتشققات وهي بحاجة الى صيانة ويوجد شقة مغلقة لم يتم الكشف عليها من الداخل . </t>
  </si>
  <si>
    <t>https://maps.app.goo.gl/339xFF8oG3pQiBZK6</t>
  </si>
  <si>
    <t xml:space="preserve">الشقة الغربية من الطابق الأرضي عدا سطحها ويتبع لها تراس مسقوف ومساحته 21 م 2_x000D_
</t>
  </si>
  <si>
    <t>https://maps.app.goo.gl/9JdRDMJiocdRG3UWA</t>
  </si>
  <si>
    <t xml:space="preserve">الطابق الأول عدا سطحها_x000D_
</t>
  </si>
  <si>
    <t>https://maps.app.goo.gl/Eqs4yfTbVDHCPyfx8</t>
  </si>
  <si>
    <t xml:space="preserve">سطح الطابق الأرضي_x000D_
</t>
  </si>
  <si>
    <t>https://maps.app.goo.gl/sWVr5rvPBTvKmKxj7</t>
  </si>
  <si>
    <t xml:space="preserve">قطعة أرض غير منتظمة الشكل مساحتها 1509 م2 مقام عليها حظيرة أغنام  من الطوب والزينكو مساحتها 45م2 _x000D_
</t>
  </si>
  <si>
    <t>https://maps.app.goo.gl/8AmqVAUV54EUe8eW6</t>
  </si>
  <si>
    <t xml:space="preserve">العقار بناء سكني شعبي قديم من الاعمده والطوب مؤلف من طابق 1 مساحة 102م2 مشطب تشطيب عادي البناء شعبي بعمر 35 عام </t>
  </si>
  <si>
    <t>https://maps.app.goo.gl/nzvihjacCQVKVv8r8</t>
  </si>
  <si>
    <t>قطعة ارض مقام عليها بناء شعبي مؤلف من طابق ارضي مساحة 133م2 البناء قديم بعمر 25 عام مستوى البناء شعبي  .</t>
  </si>
  <si>
    <t xml:space="preserve">المساحة 762م 2 </t>
  </si>
  <si>
    <t>https://maps.app.goo.gl/GyuKSSrucU1mHS8PA</t>
  </si>
  <si>
    <t xml:space="preserve">قطعة ارض مقام عليها طوابق عدد 2الطابق ارضي بمساحة 115م2 مؤلف من كراج ومستودع مفتوحين على بعض الطابق الاول 315م2 مؤلف من شقة طابقية بتشطيب جيد داد </t>
  </si>
  <si>
    <t xml:space="preserve">ارض مساحتها - 1,924 م2 منظمة سكن زراعي بأحكام خارج التنظيم_x000D_
</t>
  </si>
  <si>
    <t>AQ-LND-100450.jpeg</t>
  </si>
  <si>
    <t>https://maps.app.goo.gl/522ACyue7Dw1ySsMA</t>
  </si>
  <si>
    <t>قطعة ارض خالية من الشواغل</t>
  </si>
  <si>
    <t>AQ-LND-100953.jpeg</t>
  </si>
  <si>
    <t xml:space="preserve">ارض مساحتها -3,728 م2 لوحة 21 _x000D_
</t>
  </si>
  <si>
    <t>AQ-LND-100459.jpeg</t>
  </si>
  <si>
    <t>https://maps.app.goo.gl/DTJbF2G5AkCBaap36</t>
  </si>
  <si>
    <t xml:space="preserve">ارض مساحتها - 1633م2 _x000D_
</t>
  </si>
  <si>
    <t>AQ-LND-100191.jpeg</t>
  </si>
  <si>
    <t>https://maps.app.goo.gl/KRB3rzP3aWv4DZrw9</t>
  </si>
  <si>
    <t xml:space="preserve">قطعة ارض خالية من الأبنية والإنشاءات </t>
  </si>
  <si>
    <t>https://maps.app.goo.gl/MB26VjWss3DaSAVd7</t>
  </si>
  <si>
    <t xml:space="preserve">قطعة ارض مساحتها الاجمالية 6279 م2 </t>
  </si>
  <si>
    <t>AQ-LND-100382.jpeg</t>
  </si>
  <si>
    <t>https://maps.app.goo.gl/kKmnpxAguuxxMbsAA</t>
  </si>
  <si>
    <t xml:space="preserve">ارض مساحتها - 26,219 م2 _x000D_
</t>
  </si>
  <si>
    <t>AQ-LND-100221.jpeg</t>
  </si>
  <si>
    <t>https://maps.app.goo.gl/bbntg53bmAVeQbJK7</t>
  </si>
  <si>
    <t xml:space="preserve">ارض المساحة - 21,204 م2 لوحة 312 زراعية خارج التنظيم_x000D_
</t>
  </si>
  <si>
    <t>AQ-LND-100467.jpeg</t>
  </si>
  <si>
    <t>https://maps.app.goo.gl/6YUJcyfF31sEYAWM8</t>
  </si>
  <si>
    <t>المخزن السابع والعشرون من طابق التسوية عدا سطحه بمساحة 9م2.</t>
  </si>
  <si>
    <t>https://maps.app.goo.gl/GNPJvfncnCM8V7ZDA</t>
  </si>
  <si>
    <t>المخزن العشرون من طابق التسوية عدا سطحه بمساحة 23م 2</t>
  </si>
  <si>
    <t>المخزن الحادي عشر من طابق التسوية عدا سطحه بمساحة 25م2.</t>
  </si>
  <si>
    <t>https://maps.app.goo.gl/PmwE1hpK62FCGpay8</t>
  </si>
  <si>
    <t>المخزن الثالث عشر من طابق التسوية عدا سطحه بمساحة 29م2</t>
  </si>
  <si>
    <t>المخزن الثاني عشر من طابق التسوية عدا سطحه بمساحة 30م2</t>
  </si>
  <si>
    <t xml:space="preserve">مخزن مؤلف من باب واحد وعبارة عن مستودع فارغ_x000D_
</t>
  </si>
  <si>
    <t>https://maps.app.goo.gl/9oqv8F4tu54M7ChF6</t>
  </si>
  <si>
    <t>المخزن الثامن عشر من طابق التسوية عدا سطحه بمساحة 23م2</t>
  </si>
  <si>
    <t>المخزن التاسع عشر من طابق التسوية عدا سطحه بمساحة 23م2</t>
  </si>
  <si>
    <t>المخزن الثاني والعشرون من طابق التسوية عدا سطحه 26م2</t>
  </si>
  <si>
    <t>المخزن التاسع من طابق التسوية عدا سطحه بمساحة 27م2</t>
  </si>
  <si>
    <t>المخزن العاشر من طابق التسوية عدا سطحه بمساحة 27م 2</t>
  </si>
  <si>
    <t>المخزن رقم -1011 حوض وادي السلط 11 قرية من اراضي عمان.</t>
  </si>
  <si>
    <t>"مساحة السطح : 315 م2_x000D_
السطح مقام عليه بناء روف بمساحة 142 م2 ويوجد به سند تسجيل مستقل"</t>
  </si>
  <si>
    <t>https://truemarkets3d.net/3d-virtual-tour/housingbank-realestate/phase3/aq-re-100385/index.html</t>
  </si>
  <si>
    <t>https://maps.app.goo.gl/3HcoYjFkhR7F6YYX6</t>
  </si>
  <si>
    <t>https://youtu.be/sWKfBmYY4cQ</t>
  </si>
  <si>
    <t>السطح رقم 131 القائمة على قطعة ارض رقم 1996 وتقع في منطقة تنموية وهي مدينة التجمعات الصناعية - سحاب</t>
  </si>
  <si>
    <t>https://maps.app.goo.gl/yoJstemVa57UnKVq6</t>
  </si>
  <si>
    <t>السطح رقم 132 القائمة على قطعة ارض رقم 1996 وتقع في منطقة تنموية وهي مدينة التجمعات الصناعية - سحاب</t>
  </si>
  <si>
    <t>السطح رقم 133 القائمة على قطعة ارض رقم 1996 وتقع في منطقة تنموية وهي مدينة التجمعات الصناعية - سحاب</t>
  </si>
  <si>
    <t xml:space="preserve">سطح الشقة الشمالية من الطابق الاول </t>
  </si>
  <si>
    <t>https://maps.app.goo.gl/Ju8A5ZVyn289JNpM6</t>
  </si>
  <si>
    <t xml:space="preserve">سطح الشقة الجنوبية من الطابق الاول </t>
  </si>
  <si>
    <t>https://maps.app.goo.gl/6LsgNLXpyWTDtyjo8</t>
  </si>
  <si>
    <t>الشقة الجنوبية الغربية من طابق التسوية الثالث عدا السطح</t>
  </si>
  <si>
    <t>https://maps.app.goo.gl/VBweDiHNgF3JENxcA</t>
  </si>
  <si>
    <t xml:space="preserve">"عدد الغرف: غرفة ضيوف + بلكونة + غرفتين نوم + 2 حمام + مطبخ_x000D_
"_x000D_
</t>
  </si>
  <si>
    <t>https://maps.app.goo.gl/bWeoxqp64j34EsDz9</t>
  </si>
  <si>
    <t xml:space="preserve">الشقة الشمالية الغربية من طابق التسوية الأولى عدا سطحها_x000D_
_x000D_
</t>
  </si>
  <si>
    <t>https://truemarkets3d.net/3d-virtual-tour/housingbank-realestate/phase3/aq-re-100538/index.html</t>
  </si>
  <si>
    <t>https://maps.app.goo.gl/gJgkxjtdkCa7kW5G6</t>
  </si>
  <si>
    <t>https://youtu.be/ZHZnvxhpPdU</t>
  </si>
  <si>
    <t xml:space="preserve">الشقة الشمالية من الطابق الثاني عدا سطحها </t>
  </si>
  <si>
    <t>https://truemarkets3d.net/3d-virtual-tour/housingbank-realestate/phase3/aq-re-100102/index.html</t>
  </si>
  <si>
    <t>https://maps.app.goo.gl/18D643vFWhNA1VvUA</t>
  </si>
  <si>
    <t xml:space="preserve">الطابق الأول عدا سطحه ويتبع له تراس مساحته 24ن_x000D_
</t>
  </si>
  <si>
    <t xml:space="preserve">الشقة رقم 814- القائمة على قطعة الأرض رقم 3266 وهي الشقة الشمالية الشرقية من طابق التسوية الثانية من البناء الثامن_x000D_
</t>
  </si>
  <si>
    <t>https://maps.app.goo.gl/7T7TVpSx9C8LK6M58</t>
  </si>
  <si>
    <t xml:space="preserve">الشقة الغربية من الطابق الثاني عدا سطحها_x000D_
</t>
  </si>
  <si>
    <t>https://maps.app.goo.gl/CVUY1QsTKfAiCceLA</t>
  </si>
  <si>
    <t xml:space="preserve">الشقة الشرقية من الطابق الثاني عدا سطحها_x000D_
</t>
  </si>
  <si>
    <t xml:space="preserve">الشقة الشمالية الغربية من الطابق الأول عدا سطحها_x000D_
</t>
  </si>
  <si>
    <t>https://truemarkets3d.net/3d-virtual-tour/housingbank-realestate/phase3/aq-re-100366/index.html</t>
  </si>
  <si>
    <t xml:space="preserve">شقة مكونة من صالون + 2 حمام + مطبخ + 3 غرف نوم_x000D_
</t>
  </si>
  <si>
    <t>https://maps.app.goo.gl/Ex28ztdotoUbceN18</t>
  </si>
  <si>
    <t xml:space="preserve">الشقة الجنوبية الشرقية من الطابق الأرضي عدا سطحه_x000D_
</t>
  </si>
  <si>
    <t>https://truemarkets3d.net/3d-virtual-tour/housingbank-realestate/phase3/aq-re-100344/index.html</t>
  </si>
  <si>
    <t>https://maps.app.goo.gl/ERYJaf2se3aibHBUA</t>
  </si>
  <si>
    <t>"مساحة الشقة : 115 م2_x000D_
الشقة في الطابق الاول</t>
  </si>
  <si>
    <t>https://maps.app.goo.gl/aTx7pKjbh17iq25x8</t>
  </si>
  <si>
    <t>الشقة الشمالية الغربية من الطابق الثاني عدا سطحها</t>
  </si>
  <si>
    <t>https://truemarkets3d.net/3d-virtual-tour/housingbank-realestate/phase3/aq-re-100514/index.html</t>
  </si>
  <si>
    <t>https://maps.app.goo.gl/5sc3NScLkSbgC8vMA</t>
  </si>
  <si>
    <t>https://youtu.be/ubFjmbx5NEI</t>
  </si>
  <si>
    <t xml:space="preserve">الشقة الجنوبية من الطابق الاول </t>
  </si>
  <si>
    <t>الشقة الجنوبية الشرقية من الطابق الثالث</t>
  </si>
  <si>
    <t>https://maps.app.goo.gl/4XnYQpA3F8XtgmkL6</t>
  </si>
  <si>
    <t>"_x000D_
مساحة الشقة : 141 م2_x000D_
الشقة في الطابق الثالث"</t>
  </si>
  <si>
    <t>https://truemarkets3d.net/3d-virtual-tour/housingbank-realestate/phase3/aq-re-100118/index.html</t>
  </si>
  <si>
    <t>https://maps.app.goo.gl/kbtz4cZjB6puina27</t>
  </si>
  <si>
    <t xml:space="preserve">الشقة الغربية من الطابق الأرضي عدا سطحها_x000D_
</t>
  </si>
  <si>
    <t xml:space="preserve">الشقة الشمالية من طابق الاول عدا سطحها </t>
  </si>
  <si>
    <t xml:space="preserve">https://maps.app.goo.gl/bf5suPh1y295eoDY6 </t>
  </si>
  <si>
    <t xml:space="preserve">الشقة الشرقية من الطابق الأرضي عدا سطحها_x000D_
</t>
  </si>
  <si>
    <t>الشقة الشمالية الشرقيه من الطابق الثاني عدا سطحها</t>
  </si>
  <si>
    <t>https://truemarkets3d.net/3d-virtual-tour/housingbank-realestate/phase3/aq-re-100480/index.html</t>
  </si>
  <si>
    <t>https://maps.app.goo.gl/Y9TmiZM2eCzjn8H49</t>
  </si>
  <si>
    <t>https://youtu.be/tmGy33dVEJs</t>
  </si>
  <si>
    <t xml:space="preserve">الشقة الجنوبية من الطابق الثاني عدا السطح_x000D_
</t>
  </si>
  <si>
    <t>https://maps.app.goo.gl/vori1xhEio1x7ks39</t>
  </si>
  <si>
    <t>الطابق الارضي عدا سطحه</t>
  </si>
  <si>
    <t>https://truemarkets3d.net/3d-virtual-tour/housingbank-realestate/phase3/aq-re-100512/index.html</t>
  </si>
  <si>
    <t>https://maps.app.goo.gl/q8jxZJE12xrqNLrV8</t>
  </si>
  <si>
    <t xml:space="preserve">"_x000D_
مساحة الشقة : 168 م2_x000D_
الشقة تقع في الطابق الأرضي (الشقة الغربية)"_x000D_
</t>
  </si>
  <si>
    <t>https://maps.app.goo.gl/9HgMwvdaYCYtsHaMA</t>
  </si>
  <si>
    <t>https://truemarkets3d.net/3d-virtual-tour/housingbank-realestate/phase3/aq-re-100860/index.html</t>
  </si>
  <si>
    <t>https://maps.app.goo.gl/iXC6GxQpcnzo8KVt8</t>
  </si>
  <si>
    <t>"مساحة الشقة : 128 م2_x000D_
الشقة في الطابق الثالث (الشمالية)</t>
  </si>
  <si>
    <t>https://maps.app.goo.gl/KVbpBtAUNLD4fGf17</t>
  </si>
  <si>
    <t>"مساحة الشقة : 128 م2_x000D_
الشقة في الطابق الثالث (الجنوبية)</t>
  </si>
  <si>
    <t>"مساحة الشقة : 128 م2_x000D_
الشقة في الطابق الثاني (الشمالية)</t>
  </si>
  <si>
    <t>"مساحة الشقة : 128 م2_x000D_
الشقة في الطابق الثاني (الجنوبية)</t>
  </si>
  <si>
    <t xml:space="preserve">الشقة الجنوبية من طابق التسوية الثالثة عدا سطحها </t>
  </si>
  <si>
    <t xml:space="preserve">الشقة الجنوبية من الطابق التسوية الثانية عدا سطحها </t>
  </si>
  <si>
    <t>https://maps.app.goo.gl/Vsa2FPvPc3b5Dv6y9</t>
  </si>
  <si>
    <t xml:space="preserve">الشفة الجنوبية من الطابق الأول عدا سطحها_x000D_
</t>
  </si>
  <si>
    <t xml:space="preserve">الشقة الشمالية من الطابق الأول عدا سطحها_x000D_
</t>
  </si>
  <si>
    <t>https://maps.app.goo.gl/aJVnusEN6pMP5L547</t>
  </si>
  <si>
    <t>"_x000D_
مساحة الشقة : 119 م2_x000D_
الشقة في الطابق الثالث</t>
  </si>
  <si>
    <t>https://truemarkets3d.net/3d-virtual-tour/housingbank-realestate/phase3/aq-re-100174/index.html</t>
  </si>
  <si>
    <t>https://maps.app.goo.gl/WaxN6ZWFE4AJ92L17</t>
  </si>
  <si>
    <t xml:space="preserve">الشقة الشرقية من الطابق التسوية الأولى عدا سطحها_x000D_
</t>
  </si>
  <si>
    <t>https://truemarkets3d.net/3d-virtual-tour/housingbank-realestate/phase3/aq-re-100323/index.html</t>
  </si>
  <si>
    <t>https://maps.app.goo.gl/AMmEKf5h3mgNwH1DA</t>
  </si>
  <si>
    <t>https://maps.app.goo.gl/uVfEAgVjitVGzwV2A</t>
  </si>
  <si>
    <t xml:space="preserve">"مساحة الشقة : 115 م2_x000D_
الشقة في طابق التسوية الثانية_x000D_
"_x000D_
</t>
  </si>
  <si>
    <t>https://truemarkets3d.net/3d-virtual-tour/housingbank-realestate/phase3/aq-re-100133/index.html</t>
  </si>
  <si>
    <t>https://maps.app.goo.gl/MGV17BkDEptxmrii6</t>
  </si>
  <si>
    <t>https://truemarkets3d.net/3d-virtual-tour/housingbank-realestate/phase3/aq-re-100484/index.html</t>
  </si>
  <si>
    <t>https://maps.app.goo.gl/KDy3Gtuicwz5XZ1M9</t>
  </si>
  <si>
    <t xml:space="preserve"> الشقة الشرقية من طابق التسوية الاولى عدا سطحها </t>
  </si>
  <si>
    <t xml:space="preserve">الشقة الشرقية من طابق التسوية الأولى عدا سطحها البناء الشمالي يتكون من ستة طوابق بواقع 10 شقق .     </t>
  </si>
  <si>
    <t>شقة طابق ثالث</t>
  </si>
  <si>
    <t>https://truemarkets3d.net/3d-virtual-tour/housingbank-realestate/phase3/aq-re-100384/index.html</t>
  </si>
  <si>
    <t>https://maps.app.goo.gl/avzK77Gt6NLxUM4k8</t>
  </si>
  <si>
    <t xml:space="preserve">الشقة الشمالية الغربية من الطابق الرابع من البناء الغربي 2 عدا سطحها المعتبر منافع مشتركة_x000D_
</t>
  </si>
  <si>
    <t>https://truemarkets3d.net/3d-virtual-tour/housingbank-realestate/phase3/aq-re-100345/index.html</t>
  </si>
  <si>
    <t>https://maps.app.goo.gl/8cAVQW4dZDPtuPu36</t>
  </si>
  <si>
    <t xml:space="preserve">الشقة الشمالية من الطابق الأرضي عدا سطحها _x000D_
</t>
  </si>
  <si>
    <t xml:space="preserve">"_x000D_
مساحة الشقة : 117 م2_x000D_
الشقة تقع في الطابق الأرضي_x000D_
"_x000D_
</t>
  </si>
  <si>
    <t>https://truemarkets3d.net/3d-virtual-tour/housingbank-realestate/phase3/aq-re-100184/index.html</t>
  </si>
  <si>
    <t>09.29.2024_16.10.45.jpg, 09.29.2024_16.11.42.jpg, 09.29.2024_16.12.46.jpg, 09.29.2024_16.13.25.jpg, 09.29.2024_16.14.15.jpg, 09.29.2024_16.15.36.jpg, 09.30.2024_10.10.29.jpg, 09.30.2024_10.12.37.jpg, 09.30.2024_10.13.10.jpg, 09.30.2024_10.14.04.jpg, 09.30.2024_10.14.45.jpg, 09.30.2024_10.15.18.jpg, 09.30.2024_10.15.51.jpg</t>
  </si>
  <si>
    <t>https://maps.app.goo.gl/YAb79zfuPzgYQsi7A</t>
  </si>
  <si>
    <t xml:space="preserve">الشقة الجنوبية الشرقية من طابق الثالث عدا سطحها المعتبر منافع مشتركه </t>
  </si>
  <si>
    <t>الشقة الشمالية من الطابق الثاني عدا سطحها .</t>
  </si>
  <si>
    <t>https://maps.app.goo.gl/boHCvhcK4sWuF6V77</t>
  </si>
  <si>
    <t>الشقة الشمالية من الطابق الثالث عدا سطحها المعتبر منافع مشتركه .</t>
  </si>
  <si>
    <t>القسم الغربي من طابق التسويه الثالثه عدا سطحه ( شقة )</t>
  </si>
  <si>
    <t>https://truemarkets3d.net/3d-virtual-tour/housingbank-realestate/phase3/aq-re-100478/index.html</t>
  </si>
  <si>
    <t>https://maps.app.goo.gl/eZrUbqiQZUf7VrZr7</t>
  </si>
  <si>
    <t xml:space="preserve">الشقة الغربية من طابق التسوية عدا سطحها </t>
  </si>
  <si>
    <t>https://maps.app.goo.gl/yNcyY4Q45bH87qkj7</t>
  </si>
  <si>
    <t xml:space="preserve">الشقة الشمالية الغربية من طابق التسوية الاولى عدا سطحها_x000D_
</t>
  </si>
  <si>
    <t>https://truemarkets3d.net/3d-virtual-tour/housingbank-realestate/phase3/aq-re-100535/index.html</t>
  </si>
  <si>
    <t>https://maps.app.goo.gl/MJJ1DuF6Zs6u4YJS8</t>
  </si>
  <si>
    <t>https://www.youtube.com/embed/U9vzjEodZPg</t>
  </si>
  <si>
    <t xml:space="preserve">الشقة الشمالية الغربية من الطابق الاول عدا سطحها </t>
  </si>
  <si>
    <t xml:space="preserve">الشقة الغربية من الطابق الثاني ومساحتها 120 م2_x000D_
</t>
  </si>
  <si>
    <t>https://truemarkets3d.net/3d-virtual-tour/housingbank-realestate/phase3/aq-re-100157/index.html</t>
  </si>
  <si>
    <t>https://maps.app.goo.gl/UWZgTtN1KouUbsRM9</t>
  </si>
  <si>
    <t>الشقة الشرقية من طابق التسوية الثانية عدا سطحها</t>
  </si>
  <si>
    <t>https://truemarkets3d.net/3d-virtual-tour/housingbank-realestate/phase3/aq-re-100146/index.html</t>
  </si>
  <si>
    <t>https://maps.app.goo.gl/211YwpBmvUgA5Kkq5</t>
  </si>
  <si>
    <t xml:space="preserve">الشقة الغربية من طابق التسوية الأولى عدا سطحها </t>
  </si>
  <si>
    <t>https://truemarkets3d.net/3d-virtual-tour/housingbank-realestate/phase3/aq-re-100130/index.html</t>
  </si>
  <si>
    <t>https://maps.app.goo.gl/b1Hc8pAfjoevcjWLA</t>
  </si>
  <si>
    <t>الشقة الشمالية من طابق التسوية</t>
  </si>
  <si>
    <t>https://truemarkets3d.net/3d-virtual-tour/housingbank-realestate/phase3/aq-re-100027/index.html</t>
  </si>
  <si>
    <t>https://maps.app.goo.gl/pzVXtMBLw2zSNrni6</t>
  </si>
  <si>
    <t xml:space="preserve">الشقة في الجهة الشرقية من الطابق الثالث عدا السطح_x000D_
</t>
  </si>
  <si>
    <t>https://truemarkets3d.net/3d-virtual-tour/housingbank-realestate/phase3/aq-re-100541/index.html</t>
  </si>
  <si>
    <t>https://maps.app.goo.gl/UiNy15a7zMz9Q7ya8</t>
  </si>
  <si>
    <t>الشقة الشمالية من الطابق التسوية الأولى عدا سطحها .</t>
  </si>
  <si>
    <t>الشقة الشمالية من طابق الأول عدا سطحها .</t>
  </si>
  <si>
    <t>الشقة الشمالية من الطابق الثاني عدا سطحها</t>
  </si>
  <si>
    <t>https://truemarkets3d.net/3d-virtual-tour/housingbank-realestate/phase3/aq-re-100550/index.html</t>
  </si>
  <si>
    <t>https://maps.app.goo.gl/C8CZpFrFQDzqTPbB9</t>
  </si>
  <si>
    <t>"مساحة الشقة : 141 م2_x000D_
الشقة في طابق التسوية الاولى</t>
  </si>
  <si>
    <t>https://truemarkets3d.net/3d-virtual-tour/housingbank-realestate/phase3/aq-re-100014/index.html</t>
  </si>
  <si>
    <t>https://maps.app.goo.gl/8TyRfcepVexCGndS9</t>
  </si>
  <si>
    <t xml:space="preserve">الشقة الشمالية الشرقية من الطابق الثالث عدا سطحها_x000D_
</t>
  </si>
  <si>
    <t>https://truemarkets3d.net/3d-virtual-tour/housingbank-realestate/phase3/aq-re-100711/index.html</t>
  </si>
  <si>
    <t>https://maps.app.goo.gl/jYFKLPUhbgENKsww7</t>
  </si>
  <si>
    <t>https://www.youtube.com/embed/w5LDp-sbq7U</t>
  </si>
  <si>
    <t xml:space="preserve">الشقة الجنوبية من الطابق الثالث عدا سطحها تنظيم سكن أ_x000D_
</t>
  </si>
  <si>
    <t>https://truemarkets3d.net/3d-virtual-tour/housingbank-realestate/phase3/aq-re-100169/index.html</t>
  </si>
  <si>
    <t>https://maps.app.goo.gl/peiScTgvKRJSFmbp7</t>
  </si>
  <si>
    <t>الشقة الشمالية من طابق التسوية عدا  سطحها</t>
  </si>
  <si>
    <t>https://maps.app.goo.gl/1rqMktQnzQcfXMkH8</t>
  </si>
  <si>
    <t>https://maps.app.goo.gl/qES9kPF7162SJyoE8</t>
  </si>
  <si>
    <t>الشقة الشمالية من طابق الثاني عدا سطحها .</t>
  </si>
  <si>
    <t>https://maps.app.goo.gl/7EN8Zya1qa4zmhRH9</t>
  </si>
  <si>
    <t xml:space="preserve">الشقة الغربية من الطابق الثاني عدا سطحها المعتبر منافع مشتركة_x000D_
</t>
  </si>
  <si>
    <t xml:space="preserve">الطابق الثالث عدا سطحه </t>
  </si>
  <si>
    <t xml:space="preserve">الشقة الشرقية من طابق الثاني عدا سطحه _x000D_
</t>
  </si>
  <si>
    <t>https://maps.app.goo.gl/JTxDjVi5xfoQLkK18</t>
  </si>
  <si>
    <t xml:space="preserve">الشقة الشمالية الغربية من الطابق الثالث عدا سطحها المعتبر منافع مشتركه </t>
  </si>
  <si>
    <t>https://maps.app.goo.gl/uXXBmmsY9qrxGAK68</t>
  </si>
  <si>
    <t xml:space="preserve">الطابق الثاني عدا سطحه </t>
  </si>
  <si>
    <t xml:space="preserve">الشقة الجنوبية الغربية من طابق التسوية عدا سطحها </t>
  </si>
  <si>
    <t>الشقة الجنوبية من الطابق الثالث عدا سطحها المعتبر منافع مشتركه.</t>
  </si>
  <si>
    <t xml:space="preserve">الطابق الاول عدا سطحه </t>
  </si>
  <si>
    <t>"الشقة ضمن بناء مكون من 9 شقق وعمر البناء حديث من عام 2018_x000D_
البناء 4 واجهات حجر"</t>
  </si>
  <si>
    <t>https://maps.app.goo.gl/JBx5mcD1pSNku9H87</t>
  </si>
  <si>
    <t xml:space="preserve">الشقة الجنوبية الشرقية من الطابق الثالث عدا سطحها </t>
  </si>
  <si>
    <t>"الشقة الجنوبية من طابق التسوية الأولى عدا سطحها"</t>
  </si>
  <si>
    <t>https://truemarkets3d.net/3d-virtual-tour/housingbank-realestate/phase3/aq-re-100549/index.html</t>
  </si>
  <si>
    <t>https://maps.app.goo.gl/GUpiRafg5JQda89X7</t>
  </si>
  <si>
    <t>الشقة الجنوبية من الطابق الثاني عدا سطحها.</t>
  </si>
  <si>
    <t xml:space="preserve">الشقة الشرقية من الطابق الثالث عدا سطحها المعتبر منافع مشتركة </t>
  </si>
  <si>
    <t>https://truemarkets3d.net/3d-virtual-tour/housingbank-realestate/phase3/aq-re-100122/index.html</t>
  </si>
  <si>
    <t>https://maps.app.goo.gl/oeW83VDAaD4bodJfA</t>
  </si>
  <si>
    <t xml:space="preserve">الشقة الجنوبية من طابق التسوية الثانية عدا سطحها </t>
  </si>
  <si>
    <t>https://maps.app.goo.gl/AAY9c6rXRLpYCaAU9</t>
  </si>
  <si>
    <t xml:space="preserve">طابق التسوية الثانية عدا السطح_x000D_
</t>
  </si>
  <si>
    <t>https://maps.app.goo.gl/Pdg7Tbzp3q1vqj3y8</t>
  </si>
  <si>
    <t>الشقة الجنوبية الغربية من الطابق الثالث عدا السطح</t>
  </si>
  <si>
    <t>https://truemarkets3d.net/3d-virtual-tour/housingbank-realestate/phase3/aq-re-100039/index.html</t>
  </si>
  <si>
    <t>https://maps.app.goo.gl/jENfBBd2m4vrtLZq9</t>
  </si>
  <si>
    <t xml:space="preserve">الشقة الجنوبية الغربية من الطابق الثاني عدا سطحها </t>
  </si>
  <si>
    <t>https://maps.app.goo.gl/78XWhaoaJBM26LxDA</t>
  </si>
  <si>
    <t xml:space="preserve">الشقة الجنوبية الشرقية من الطابق الاول عدا سطحها </t>
  </si>
  <si>
    <t>https://maps.app.goo.gl/avm15mhnaw4qyuLg6</t>
  </si>
  <si>
    <t xml:space="preserve">الشقة الغربية من الطابق الثالث عدا سطحها المعتبر منافع مشتركة </t>
  </si>
  <si>
    <t>https://truemarkets3d.net/3d-virtual-tour/housingbank-realestate/phase3/aq-re-100123/index.html</t>
  </si>
  <si>
    <t>https://maps.app.goo.gl/85dFTm6w5eh5cFpeA</t>
  </si>
  <si>
    <t xml:space="preserve">الطابق الارضي عدا سطحه </t>
  </si>
  <si>
    <t>الشقة الجنوبية من طابق الأرضي عدا سطحها .</t>
  </si>
  <si>
    <t>الشقة الجنوبية من طابق الأول عدا سطحها .</t>
  </si>
  <si>
    <t xml:space="preserve">مساحة الشقة : 167 م2_x000D_
الشقة في الطابق الأول"_x000D_
</t>
  </si>
  <si>
    <t>https://truemarkets3d.net/3d-virtual-tour/housingbank-realestate/phase3/aq-re-100115/index.html</t>
  </si>
  <si>
    <t>https://maps.app.goo.gl/RJdWCLyv6pwXDKhq8</t>
  </si>
  <si>
    <t xml:space="preserve">الشقة الشمالية الشرقية من طابق الثالث عدا سطحها المعتبر منافع مشتركه </t>
  </si>
  <si>
    <t xml:space="preserve">طابق التسوية الاولى عدا السطح_x000D_
</t>
  </si>
  <si>
    <t xml:space="preserve">الشقة الشمالية الغربية من طابق الثاني  عدا سطحها </t>
  </si>
  <si>
    <t>https://maps.app.goo.gl/kMtMj5dxsNbSzd9PA</t>
  </si>
  <si>
    <t>الشقة الجنوبية من الطابق التسوية الأولى عدا سطحها .</t>
  </si>
  <si>
    <t>الشقة الغربية من طابق الثاني عدا سطحها ويتبع  لها موقف الساياره رقم 5 مساحتها 148</t>
  </si>
  <si>
    <t xml:space="preserve">الطابق الأرضي عدا سطحه_x000D_
</t>
  </si>
  <si>
    <t xml:space="preserve">الشقة الجنوبية الشرقية من الطابق الارضي عدا سطحها </t>
  </si>
  <si>
    <t xml:space="preserve">البناء يتكون من خمسة طوابق بمجموع 7 شقق وصف الشقة المعنية الطابق الثاني عدا سطحه الشقة على الواقع مقسومه الى شقتين حسب المعلومات السابقة .     </t>
  </si>
  <si>
    <t>https://maps.app.goo.gl/mFnjNEXHi6AX1uGB8</t>
  </si>
  <si>
    <t xml:space="preserve">الطابق الاول عدا سطحه و يتبع له تراس مكشوف 11 من القسم الجنوبي 1 </t>
  </si>
  <si>
    <t>https://maps.app.goo.gl/wEFbfAr76b6go7Ty7</t>
  </si>
  <si>
    <t xml:space="preserve">الشقة الغربية من طابق التسوية الأولى عدا سطحها_x000D_
</t>
  </si>
  <si>
    <t>https://truemarkets3d.net/3d-virtual-tour/housingbank-realestate/phase3/aq-re-100749/index.html</t>
  </si>
  <si>
    <t>https://maps.app.goo.gl/NUz9XJrJbDQFJvDU6</t>
  </si>
  <si>
    <t xml:space="preserve">الطابق الثاني عدا السطح </t>
  </si>
  <si>
    <t>https://maps.app.goo.gl/P4ZHVhL2SDqrEY9z8</t>
  </si>
  <si>
    <t xml:space="preserve">الشقة الشمالية من الطابق الارضي عدا سطحها مساحتها 150م2 </t>
  </si>
  <si>
    <t>https://maps.app.goo.gl/LH53HbcRSHAA2F9Q7</t>
  </si>
  <si>
    <t xml:space="preserve">الشقة الشرقية من الطابق التسوية عدا سطحها_x000D_
</t>
  </si>
  <si>
    <t>https://maps.app.goo.gl/AaPL6x8f3Epshw3A6</t>
  </si>
  <si>
    <t>الشقة الشرقية من الطابق الثالث عدا سطحها المعتبر منافع مشتركة</t>
  </si>
  <si>
    <t>https://truemarkets3d.net/3d-virtual-tour/housingbank-realestate/phase3/aq-re-100113/index.html</t>
  </si>
  <si>
    <t>https://maps.app.goo.gl/RcLya9VzoKjrcVjX7</t>
  </si>
  <si>
    <t>الشقة الشمالية من الطابق الثاني عدا سطحه</t>
  </si>
  <si>
    <t>https://truemarkets3d.net/3d-virtual-tour/housingbank-realestate/phase3/aq-re-100521/index.html</t>
  </si>
  <si>
    <t>https://maps.app.goo.gl/qLQ5BPu7PfNaEtY78</t>
  </si>
  <si>
    <t>الشقة الجنوبية الشرقية من الطابق الثالث عدا سطحها</t>
  </si>
  <si>
    <t>https://www.true-markets.net/media/360tour/housing-bank/1960-131/index.html</t>
  </si>
  <si>
    <t>https://maps.app.goo.gl/Nq3Tn1h3kFCRPX2N9</t>
  </si>
  <si>
    <t xml:space="preserve">الشقة الشمالية من الطابق الأرضي عدا سطحها </t>
  </si>
  <si>
    <t>https://maps.app.goo.gl/uGiHJUmNLjAKrrag6</t>
  </si>
  <si>
    <t xml:space="preserve">الشقة الجنوبية من طابق التسوية عدا سطحها </t>
  </si>
  <si>
    <t>الشقة الغربية من الطابق التسوية الاولى عدا سطحها</t>
  </si>
  <si>
    <t>https://truemarkets3d.net/3d-virtual-tour/housingbank-realestate/phase3/aq-re-100565/index.html</t>
  </si>
  <si>
    <t>https://maps.app.goo.gl/LVzG22XCMkTF2GnN9</t>
  </si>
  <si>
    <t>https://youtu.be/HnI2uq5itUI</t>
  </si>
  <si>
    <t>الشقة الجنوبية من طابق التسوية عدا سطحها</t>
  </si>
  <si>
    <t xml:space="preserve">الشقة الشمالية من الطابق الأرضي - تلاع العلي </t>
  </si>
  <si>
    <t>https://truemarkets3d.net/3d-virtual-tour/housingbank-realestate/phase3/aq-re-100028/index.html</t>
  </si>
  <si>
    <t>https://maps.app.goo.gl/8xbcN4kXprhQ9SPx7</t>
  </si>
  <si>
    <t xml:space="preserve">الطابق الأول عدا سطحه_x000D_
</t>
  </si>
  <si>
    <t>https://maps.app.goo.gl/BmWitPWPQ29bRjzo6</t>
  </si>
  <si>
    <t xml:space="preserve">الشقة الغربية من الطابق الأول عدا سطحها_x000D_
</t>
  </si>
  <si>
    <t>https://www.true-markets.net/media/360tour/housing-bank/1278-111/index.html</t>
  </si>
  <si>
    <t xml:space="preserve">الشقة الشمالية الغربية من طابق التسوية الأولى عدا سطحها </t>
  </si>
  <si>
    <t>https://maps.app.goo.gl/vRVuvgwGBAgdEN5k6</t>
  </si>
  <si>
    <t xml:space="preserve">مقام على قطعة الارض بناء له واجهتين ونصف من الحجر مؤلف من 5 طوابق طابق التسوية خدمات بمساحة 53م2 والطابق الارضي 277م2 وطابق ثالث 277م2 وشقق عظم </t>
  </si>
  <si>
    <t xml:space="preserve">الفيلا الغربية 2 تتكون من طابق التسوية 72م2 والطابق الارضي 182م2 والطابق الاول 145م2 مع سطحها 145م2 ويتبع لها تراس مكشوف 37م2 </t>
  </si>
  <si>
    <t>https://maps.app.goo.gl/KaDDJoWaGssoh92q8</t>
  </si>
  <si>
    <t>https://maps.app.goo.gl/uuwou1eBXmjeqxDh6</t>
  </si>
  <si>
    <t>شقة طابق تسوية</t>
  </si>
  <si>
    <t>https://truemarkets3d.net/3d-virtual-tour/housingbank-realestate/phase3/aq-re-100092/index.html</t>
  </si>
  <si>
    <t>https://maps.app.goo.gl/rWQieDR7xY2LBKWo7</t>
  </si>
  <si>
    <t>https://truemarkets3d.net/3d-virtual-tour/housingbank-realestate/phase3/aq-re-100491/index.html</t>
  </si>
  <si>
    <t>https://maps.app.goo.gl/2K8DhtmGr8pKxB687</t>
  </si>
  <si>
    <t>الشقة الشمالية من الطابق الأول عدا سطحها</t>
  </si>
  <si>
    <t>https://truemarkets3d.net/3d-virtual-tour/housingbank-realestate/phase3/aq-re-100546/index.html</t>
  </si>
  <si>
    <t>-copy-09252024_141553.jpg, -copy-09252024_141727.jpg, -copy-09252024_141833.jpg, -copy-09252024_142152.jpg, -copy-09252024_142249.jpg, -copy-09252024_142352.jpg, -copy-09252024_142438.jpg, -copy-09252024_142556.jpg, -copy-09252024_142654.jpg, -copy-09252024_142654.jpg, -copy-09252024_142946.jpg, -copy-09252024_142946.jpg, -copy-09252024_143028.jpg, -copy-09252024_143028.jpg, -copy-09252024_143203.jpg, -copy-09252024_143203.jpg, -copy-09252024_143301.jpg, -copy-09252024_143401.jpg, -copy-09252024_143511.jpg, -copy-09252024_143650.jpg, -copy-09252024_143732.jpg, -copy-09252024_143912.jpg, -copy-09252024_143934.jpg</t>
  </si>
  <si>
    <t>https://maps.app.goo.gl/vTdfqhSSzgct8SgY9</t>
  </si>
  <si>
    <t xml:space="preserve">الشقة الجنوبية الغربية من الطابق الأرضي عدا سطحها </t>
  </si>
  <si>
    <t>https://maps.app.goo.gl/2YjnkWsNQRf4pX8J7</t>
  </si>
  <si>
    <t>الشقة الجنوبية من طابق التسوية الأولى عدا سطحها</t>
  </si>
  <si>
    <t>https://truemarkets3d.net/3d-virtual-tour/housingbank-realestate/phase3/aq-re-100463/index.html</t>
  </si>
  <si>
    <t>https://maps.app.goo.gl/AF8w9PXWWfnBnA1y7</t>
  </si>
  <si>
    <t xml:space="preserve">طابق التسوية عدا سطحه </t>
  </si>
  <si>
    <t>https://truemarkets3d.net/3d-virtual-tour/housingbank-realestate/phase3/aq-re-100969/index.html</t>
  </si>
  <si>
    <t>الشقة الشرقية من الطابق الثاني عدا سطحها</t>
  </si>
  <si>
    <t>https://truemarkets3d.net/3d-virtual-tour/housingbank-realestate/phase3/aq-re-100408/index.html</t>
  </si>
  <si>
    <t>https://maps.app.goo.gl/SLMKPZzonANSgeXX9</t>
  </si>
  <si>
    <t xml:space="preserve">الشقة الغربية من الطابق الاول عدا سطحها </t>
  </si>
  <si>
    <t xml:space="preserve"> طابق التسوية الأول عدا سطحه بمساحة 378م2  .</t>
  </si>
  <si>
    <t>"مساحة الشقة : 144 م2_x000D_
الشقة في الطابق الثالث (الجنوبية الشرقية)"</t>
  </si>
  <si>
    <t>https://truemarkets3d.net/3d-virtual-tour/housingbank-realestate/phase3/aq-re-100209/index.html</t>
  </si>
  <si>
    <t>https://maps.app.goo.gl/6RTC5AfjCgCP24wy5</t>
  </si>
  <si>
    <t>"مساحة الشقة : 137 م2_x000D_
الشقة تقع في الطابق الثالث (الشقة الغربية)</t>
  </si>
  <si>
    <t>https://maps.app.goo.gl/4zBnzzMH3hGj66hr9</t>
  </si>
  <si>
    <t>الشقة الجنوبية من الطابق الثاني عدا سطحها</t>
  </si>
  <si>
    <t>الشقة الشمالية من طابق التسوية عدا سطحها</t>
  </si>
  <si>
    <t>https://maps.app.goo.gl/H3C8bfa2CGGz3adh9</t>
  </si>
  <si>
    <t xml:space="preserve">الشقة الشمالية الشرقية من الطابق الأرضي عدا سطحها_x000D_
</t>
  </si>
  <si>
    <t>https://maps.app.goo.gl/tsHJUJgAwGRXb4Nx6</t>
  </si>
  <si>
    <t>الطابق الثالث عدا سطحه المعتبر منافع مشتركه.</t>
  </si>
  <si>
    <t>الشقة الجنوبية من الطابق الثالث عدا سطحها المعتبر منافع مشتركة</t>
  </si>
  <si>
    <t>https://youtu.be/licaSbVuZw0</t>
  </si>
  <si>
    <t>https://maps.app.goo.gl/cJiuTFLiRY8Ea8zs9</t>
  </si>
  <si>
    <t xml:space="preserve">الشقة الشمالية من الطابق الثالث عدا سطحها المعتبر منافع مشتركة_x000D_
</t>
  </si>
  <si>
    <t>https://truemarkets3d.net/3d-virtual-tour/housingbank-realestate/phase3/aq-re-100253/index.html</t>
  </si>
  <si>
    <t>https://maps.app.goo.gl/ekBjaFSESyNTNG628</t>
  </si>
  <si>
    <t xml:space="preserve">البناء مقام على قطعة الارض بناء من الطوب والاعمده واجهاته من حجر الشحف مؤلف من طابق ارضي </t>
  </si>
  <si>
    <t>الشقة الجنوبية من طابق التسوية الثانية عدا السطح</t>
  </si>
  <si>
    <t xml:space="preserve">الشقة الشمالية من طابق الثالث عدا سطحها المعتبر منافع مشتركه </t>
  </si>
  <si>
    <t>https://truemarkets3d.net/3d-virtual-tour/housingbank-realestate/phase3/aq-re-100657/index.html</t>
  </si>
  <si>
    <t>https://maps.app.goo.gl/xa5AWwmZHvWRFjrx8</t>
  </si>
  <si>
    <t>https://youtu.be/O7_3u6Lcw4E\</t>
  </si>
  <si>
    <t>الشقة الجنوبية من الطابق التسوية الأول عدا سطحها</t>
  </si>
  <si>
    <t>https://www.true-markets.net/media/360tour/housing-bank/1055-121/index.html</t>
  </si>
  <si>
    <t>https://maps.app.goo.gl/aAE9NE5iS8KXTgmY9</t>
  </si>
  <si>
    <t>"مساحة الشقة : 193 م2_x000D_
الشقة في الطابق الثالث</t>
  </si>
  <si>
    <t>https://truemarkets3d.net/3d-virtual-tour/housingbank-realestate/phase3/aq-re-100073/index.html</t>
  </si>
  <si>
    <t>https://maps.app.goo.gl/9deU5avotXsVujhi6</t>
  </si>
  <si>
    <t>الشقة الشمالية الغربية من الطابق الارضي عدا سطحها</t>
  </si>
  <si>
    <t>https://truemarkets3d.net/3d-virtual-tour/housingbank-realestate/phase3/aq-re-100451/index.html</t>
  </si>
  <si>
    <t>-copy-09252024_120817.jpg, -copy-09252024_120856.jpg, -copy-09252024_121044.jpg, -copy-09252024_121152.jpg, -copy-09252024_121257.jpg, -copy-09252024_121353.jpg, -copy-09252024_121444.jpg, -copy-09252024_122316.jpg, -copy-09252024_122331.jpg, -copy-09252024_122431.jpg, -copy-09252024_122606.jpg, -copy-09252024_122655.jpg, -copy-09252024_122927.jpg, -copy-09252024_123022.jpg, -copy-09252024_123056.jpg</t>
  </si>
  <si>
    <t>https://maps.app.goo.gl/itaHHkTuENKfXeX6A</t>
  </si>
  <si>
    <t>الشقة الجنوبية من طابق الثاني عدا سطحها ومساحتها 158م2 .</t>
  </si>
  <si>
    <t>https://maps.app.goo.gl/LXkr5AAmbMwwUBYy9</t>
  </si>
  <si>
    <t>الشقة الجنوبية الغربية من الطابق الارضي عدا سطحها</t>
  </si>
  <si>
    <t>الطابق الثاني عدا سطحه.</t>
  </si>
  <si>
    <t xml:space="preserve">الشقة الجنوبية الشرقية من الطابق الأول عدا سطحها_x000D_
</t>
  </si>
  <si>
    <t>https://maps.app.goo.gl/rhyxpPMGNETmyxnN6</t>
  </si>
  <si>
    <t>الشقة الشمالية من طابق الأرضي عدا سطحها .</t>
  </si>
  <si>
    <t xml:space="preserve">الشقة الجنوبية من الطابق التسوية الأولى عدا سطحها </t>
  </si>
  <si>
    <t>https://truemarkets3d.net/3d-virtual-tour/housingbank-realestate/phase3/aq-re-100128/index.html</t>
  </si>
  <si>
    <t>https://maps.app.goo.gl/XmBJyxA1gFYLMw7J6</t>
  </si>
  <si>
    <t xml:space="preserve">الشقة الشرقية من الطابق الثالث عدا سطحها المعتبر منافع مشتركة_x000D_
</t>
  </si>
  <si>
    <t>https://truemarkets3d.net/3d-virtual-tour/housingbank-realestate/phase3/aq-re-100024/index.html</t>
  </si>
  <si>
    <t>https://maps.app.goo.gl/3fhUsakgNzVEaUEo6</t>
  </si>
  <si>
    <t>سطح الطابق الثاني مقام على جزء منه طابق رووف مساحته 155 م2</t>
  </si>
  <si>
    <t>https://truemarkets3d.net/3d-virtual-tour/housingbank-realestate/phase3/aq-re-100050/index.html</t>
  </si>
  <si>
    <t>https://maps.app.goo.gl/cVZmQPvjnP3jKB2W9</t>
  </si>
  <si>
    <t>طابق التسوية عدا سطحه</t>
  </si>
  <si>
    <t>https://truemarkets3d.net/3d-virtual-tour/housingbank-realestate/phase3/aq-re-100116/index.html</t>
  </si>
  <si>
    <t>https://maps.app.goo.gl/bK11oifv6ew8sEPGA</t>
  </si>
  <si>
    <t>عدد الغرف: غرفة ضيوف + بلكونة + صالة معيشة مفتوحة على المطبخ + 3 غرف نوم جميعها ماستر + حمام اضافي</t>
  </si>
  <si>
    <t>https://truemarkets3d.net/3d-virtual-tour/housingbank-realestate/phase3/aq-re-100273/index.html</t>
  </si>
  <si>
    <t>-copy-09262024_110459.jpg, -copy-09262024_110542.jpg, -copy-09262024_110916.jpg, -copy-09262024_113302.jpg, -copy-09262024_113418.jpg, -copy-09262024_113515.jpg, -copy-09262024_121551.jpg</t>
  </si>
  <si>
    <t>https://maps.app.goo.gl/HDoG4szvaDX6Todh9</t>
  </si>
  <si>
    <t xml:space="preserve">عدد الغرف: غرفة ضيوف + بلكونة + صالة معيشة مفتوحة على المطبخ + 3 غرف نوم جميعها ماستر + حمام اضافي_x000D_
</t>
  </si>
  <si>
    <t>https://truemarkets3d.net/3d-virtual-tour/housingbank-realestate/phase3/aq-re-100270/index.html</t>
  </si>
  <si>
    <t>-copy-09262024_103737.jpg, -copy-09262024_103737.jpg, -copy-09262024_103834.jpg, -copy-09262024_103834.jpg, -copy-09262024_103917.jpg, -copy-09262024_103917.jpg, -copy-09262024_104015.jpg, -copy-09262024_104015.jpg, -copy-09262024_104110.jpg, -copy-09262024_104110.jpg, -copy-09262024_104157.jpg, -copy-09262024_104157.jpg, -copy-09262024_104251.jpg, -copy-09262024_104251.jpg, -copy-09262024_104334.jpg, -copy-09262024_104334.jpg, -copy-09262024_104411.jpg, -copy-09262024_104411.jpg, -copy-09262024_104448.jpg, -copy-09262024_104448.jpg, -copy-09262024_104536.jpg, -copy-09262024_104536.jpg, -copy-09262024_104614.jpg, -copy-09262024_104614.jpg, -copy-09262024_104652.jpg, -copy-09262024_104652.jpg, -copy-09262024_104759.jpg, -copy-09262024_104759.jpg, -copy-09262024_104858.jpg, -copy-09262024_104858.jpg, -copy-09262024_113515.jpg, -copy-09262024_113515.jpg, -copy-09262024_121551.jpg, -copy-09262024_121551.jpg</t>
  </si>
  <si>
    <t xml:space="preserve">مساحة الشقة : 165 م2_x000D_
الشقة الشمالية من الطابق الأرضي_x000D_
</t>
  </si>
  <si>
    <t>https://truemarkets3d.net/3d-virtual-tour/housingbank-realestate/phase3/aq-re-100173/index.html</t>
  </si>
  <si>
    <t>https://maps.app.goo.gl/Xsu5aq4mxzh37M4C6</t>
  </si>
  <si>
    <t>سطح الطابق الثاني المقام على جزء منه طابق ثالث 188م2 عدا سطحه المعتبر منافع مشتركة</t>
  </si>
  <si>
    <t>https://truemarkets3d.net/3d-virtual-tour/housingbank-realestate/phase3/aq-re-100455/index.html</t>
  </si>
  <si>
    <t>https://maps.app.goo.gl/FTt69v9v3NzKRVap8</t>
  </si>
  <si>
    <t xml:space="preserve">الطابق الأرضي عدا سطحه من البناء الغربي (ب)_x000D_
</t>
  </si>
  <si>
    <t>https://maps.app.goo.gl/oPw4qQjemYLix7yr7</t>
  </si>
  <si>
    <t xml:space="preserve">الشقة الشرقية من الطابق الثالث عدا سطحه المعتبر منافع مشتركة _x000D_
</t>
  </si>
  <si>
    <t>الشقة الشمالية الشرقية من الطابق الثالث عدا سطحها المعتبر منافع مشتركة</t>
  </si>
  <si>
    <t>طابق التسوية الثالثة عدا سطحه</t>
  </si>
  <si>
    <t>https://truemarkets3d.net/3d-virtual-tour/housingbank-realestate/phase3/aq-re-100520/index.html</t>
  </si>
  <si>
    <t>09.29.2024_13.17.45.jpg, 09.29.2024_13.18.23.jpg, 09.29.2024_13.19.09.jpg, 09.29.2024_13.20.13.jpg, 09.29.2024_13.20.55.jpg, 09.29.2024_13.20.57.jpg, 09.29.2024_13.21.33.jpg, 09.29.2024_13.22.40.jpg, 09.29.2024_13.23.27.jpg, 09.29.2024_13.25.33.jpg, 09.29.2024_13.26.19.jpg, 09.29.2024_13.27.15.jpg, 09.29.2024_13.31.46.jpg, 09.29.2024_13.33.54.jpg, 09.29.2024_13.35.12.jpg, 09.29.2024_13.35.47.jpg, 09.29.2024_13.36.31.jpg, 09.29.2024_13.37.34.jpg, 09.29.2024_13.38.50.jpg, 09.29.2024_13.40.40.jpg</t>
  </si>
  <si>
    <t>https://maps.app.goo.gl/r93HtguMs6qnk6Fz8</t>
  </si>
  <si>
    <t xml:space="preserve"> سطح الطابق الأرضي (حق الاعتلاء لجميع الطوابق يعود للمالك السابق جمال رشيد) .     </t>
  </si>
  <si>
    <t>https://truemarkets3d.net/3d-virtual-tour/housingbank-realestate/phase3/aq-re-100940/index.html</t>
  </si>
  <si>
    <t>الطابق الاول عدا سطحه</t>
  </si>
  <si>
    <t>https://youtu.be/lBVUjma6pwY</t>
  </si>
  <si>
    <t>الشقة الشمالية الغربي من الطابق الارضي عدا سطحها</t>
  </si>
  <si>
    <t>https://maps.app.goo.gl/Nf3fpMdWfz93inGn7</t>
  </si>
  <si>
    <t xml:space="preserve">الشقة الجنوبية الشرقية من الطابق التسوية الأولى عدا سطحها </t>
  </si>
  <si>
    <t>https://truemarkets3d.net/3d-virtual-tour/housingbank-realestate/phase3/aq-re-100108/index.html</t>
  </si>
  <si>
    <t>https://maps.app.goo.gl/YdooFJ5WEVD69sHY8</t>
  </si>
  <si>
    <t>"مساحة الشقة : 137 م2_x000D_
الشقة تقع في الطابق الثاني (الشقة الشرقية)</t>
  </si>
  <si>
    <t>https://truemarkets3d.net/3d-virtual-tour/housingbank-realestate/phase3/aq-re-100192/index.html</t>
  </si>
  <si>
    <t>https://maps.app.goo.gl/6Q4dnw3jew18N5rP8</t>
  </si>
  <si>
    <t xml:space="preserve">شقة رقم 142/132 حوض 2 تلعة نمر_x000D_
</t>
  </si>
  <si>
    <t>https://truemarkets3d.net/3d-virtual-tour/housingbank-realestate/phase3/aq-re-100009/index.html</t>
  </si>
  <si>
    <t>https://maps.app.goo.gl/uCExPUmrskggFGTs8</t>
  </si>
  <si>
    <t>الشقة الجنوبية من الطابق الارضي عدا سطحها</t>
  </si>
  <si>
    <t>الشقة الجنوبية من الطابق الاول عدا سطحها</t>
  </si>
  <si>
    <t xml:space="preserve">طابق التسوية الأرضيه عدا سطحه_x000D_
</t>
  </si>
  <si>
    <t>https://truemarkets3d.net/3d-virtual-tour/housingbank-realestate/phase3/aq-re-100545/index.html</t>
  </si>
  <si>
    <t>https://maps.app.goo.gl/ajB8VPu4pzYSUBmR8</t>
  </si>
  <si>
    <t>https://youtu.be/NVc5uy9flkU</t>
  </si>
  <si>
    <t>الشقة الشمالية الغربية من طابق التسوية الثالثة 101 م2 ويتبع لها الشقة الشمالية الغربية من طابق التسوية الثانية عدا سطحهم 101م2</t>
  </si>
  <si>
    <t>-copy-09242024_120523.jpg, -copy-09242024_120550.jpg, -copy-09242024_120618.jpg, -copy-09242024_120707.jpg, -copy-09242024_120735.jpg, -copy-09242024_120813.jpg, -copy-09242024_120852.jpg, -copy-09242024_120926.jpg, -copy-09242024_120953.jpg, -copy-09242024_121032.jpg, -copy-09242024_124035.jpg, -copy-09242024_124612.jpg, -copy-09242024_124655.jpg, -copy-09242024_125021.jpg, -copy-09242024_125059.jpg, -copy-09242024_125358.jpg, -copy-09242024_125451.jpg, -copy-09242024_125533.jpg, -copy-09242024_125727.jpg, -copy-09242024_125808.jpg, -copy-09242024_125859.jpg, -copy-09242024_125859.jpg, -copy-09242024_130031.jpg, -copy-09242024_130118.jpg, -copy-09242024_130234.jpg, -copy-09242024_130324.jpg, -copy-09242024_130445.jpg, -copy-09242024_130550.jpg, -copy-09242024_130839.jpg, -copy-09242024_130919.jpg, -copy-09242024_131242.jpg, -copy-09242024_131319.jpg, -copy-09242024_131519.jpg, -copy-09242024_131752.jpg, -copy-09242024_131848.jpg</t>
  </si>
  <si>
    <t xml:space="preserve">الشقة الجنوبية الغربية من الطابق الثاني عدا سطحها_x000D_
</t>
  </si>
  <si>
    <t xml:space="preserve">الشقة الجنوبية الشرقية من الطابق التسوية الثانية عدا سطحها_x000D_
</t>
  </si>
  <si>
    <t>https://maps.app.goo.gl/dMoYNjfhfubUr18G7</t>
  </si>
  <si>
    <t xml:space="preserve">الشقة الشرقية من طابق التسوية الثالثة بمساحة 178 م2 </t>
  </si>
  <si>
    <t>https://truemarkets3d.net/3d-virtual-tour/housingbank-realestate/phase3/aq-re-100684/index.html</t>
  </si>
  <si>
    <t>-copy-2-09242024_110141.jpg, -copy-2-09242024_110232.jpg, -copy-2-09242024_110327.jpg, -copy-2-09242024_110427.jpg, -copy-2-09242024_110511.jpg, -copy-2-09242024_110654.jpg, -copy-2-09242024_110758.jpg, -copy-2-09242024_110857.jpg, -copy-2-09242024_111007.jpg, -copy-2-09242024_111056.jpg, -copy-2-09242024_111138.jpg, -copy-2-09242024_111232.jpg, -copy-2-09242024_111327.jpg, -copy-2-09242024_111423.jpg, -copy-2-09242024_111520.jpg, -copy-2-09242024_111610.jpg, -copy-2-09242024_111744.jpg, -copy-2-09242024_112036.jpg</t>
  </si>
  <si>
    <t xml:space="preserve">الشقة الشرقية من طابق التسوية الثانية عدا سطحها .     </t>
  </si>
  <si>
    <t>"_x000D_
مساحة الشقة : 181 م2_x000D_
الشقة في الطابق الثاني</t>
  </si>
  <si>
    <t>https://truemarkets3d.net/3d-virtual-tour/housingbank-realestate/phase3/aq-re-100271/index.html</t>
  </si>
  <si>
    <t>-copy-09242024_162159.jpg, -copy-09242024_162642.jpg, -copy-09242024_162738.jpg, -copy-09242024_162821.jpg, -copy-09242024_162910.jpg, -copy-09242024_162946.jpg, -copy-09242024_163037.jpg, -copy-09242024_163142.jpg, -copy-09242024_163522.jpg, -copy-09242024_163653.jpg, -copy-09242024_163803.jpg, -copy-09242024_163900.jpg, -copy-09242024_163949.jpg, -copy-09242024_164036.jpg, -copy-09242024_164118.jpg, -copy-09242024_164213.jpg, -copy-09242024_164602.jpg</t>
  </si>
  <si>
    <t>https://maps.app.goo.gl/aMpzwgxWkCHapCsx9</t>
  </si>
  <si>
    <t>شقة طابق ثاني</t>
  </si>
  <si>
    <t>https://truemarkets3d.net/3d-virtual-tour/housingbank-realestate/phase3/aq-re-100383/index.html</t>
  </si>
  <si>
    <t>https://maps.app.goo.gl/i1pKTRSJP5eMEYNu6</t>
  </si>
  <si>
    <t xml:space="preserve">الشقة الجنوبية من الطابق الارضي عدا سطحها </t>
  </si>
  <si>
    <t xml:space="preserve">"مساحة الشقة : 178 م2_x000D_
الشقة في طابق التسوية الاولى_x000D_
"_x000D_
</t>
  </si>
  <si>
    <t>https://truemarkets3d.net/3d-virtual-tour/housingbank-realestate/phase3/aq-re-100161/index.html</t>
  </si>
  <si>
    <t>https://maps.app.goo.gl/wKqU9GA7XXGFP8H2A</t>
  </si>
  <si>
    <t>الشقة الشمالية من طابق الثالث عدا سطحه المعتبر منافع مشتركة الشقة ضمن بناء واجهاته من الحجر مؤلف من 5 طوابق ومخدوم بمصعد  ولم يتمكن الخبير من الدخول للشقة وهي مشغوله من قبل المالك السابق .</t>
  </si>
  <si>
    <t>https://truemarkets3d.net/3d-virtual-tour/housingbank-realestate/phase3/aq-re-100822/index.html</t>
  </si>
  <si>
    <t>https://maps.app.goo.gl/k3F5LNcdHywTLqJP8</t>
  </si>
  <si>
    <t>https://youtu.be/mVv6M2xoN7g</t>
  </si>
  <si>
    <t xml:space="preserve">"_x000D_
مساحة الشقة : 230 م2_x000D_
الشقة تقع في طابق التسوية الاولى_x000D_
"_x000D_
</t>
  </si>
  <si>
    <t>https://truemarkets3d.net/3d-virtual-tour/housingbank-realestate/phase3/aq-re-100030/index.html</t>
  </si>
  <si>
    <t>https://maps.app.goo.gl/3oe7jqC4gNmD6mvC8</t>
  </si>
  <si>
    <t>"مساحة الشقة : 137 م2_x000D_
الشقة تقع في الطابق الاول (الشقة الغربية)</t>
  </si>
  <si>
    <t xml:space="preserve">"شقة دوبلكس في ام السماق قرب مكة مول _x000D_
طابق أرضي + تسوية 196 متر لكل طابق"_x000D_
</t>
  </si>
  <si>
    <t>https://truemarkets3d.net/3d-virtual-tour/housingbank-realestate/phase3/aq-re-100254/index.html</t>
  </si>
  <si>
    <t>09.29.2024_11.45.13.jpg, 09.29.2024_11.46.02.jpg, 09.29.2024_11.47.28.jpg, 09.29.2024_11.48.13.jpg, 09.29.2024_11.55.48.jpg, 09.29.2024_11.57.25.jpg, 09.29.2024_11.58.04.jpg, 09.29.2024_11.58.43.jpg, 09.29.2024_12.00.34.jpg, 09.29.2024_12.01.11.jpg, 09.29.2024_12.01.45.jpg, 09.29.2024_12.02.30.jpg, 09.29.2024_12.03.10.jpg, 09.29.2024_12.03.59.jpg, 09.29.2024_12.05.13.jpg, 09.29.2024_12.06.34.jpg, 09.29.2024_12.11.07.jpg, 09.29.2024_12.16.25.jpg, 09.29.2024_12.17.06.jpg, 09.29.2024_12.17.51.jpg, 09.29.2024_12.29.42.jpg, 09.29.2024_12.30.52.jpg, 09.29.2024_12.31.41.jpg, 09.29.2024_12.32.11.jpg, 09.29.2024_12.32.49.jpg, 09.29.2024_12.33.26.jpg, 09.29.2024_12.34.08.jpg, 09.29.2024_12.36.42.jpg, 09.29.2024_12.37.28.jpg</t>
  </si>
  <si>
    <t>https://maps.app.goo.gl/88QPBBfoB8XZZUmN8</t>
  </si>
  <si>
    <t xml:space="preserve">الشقة الجنوبية من الطابق الأرضي عدا سطحها_x000D_
</t>
  </si>
  <si>
    <t xml:space="preserve">الشقة الشرقية من الطابق الأول عدا سطحها_x000D_
</t>
  </si>
  <si>
    <t>شقة رقم 464/102 حوض مرج سكا 3</t>
  </si>
  <si>
    <t>https://truemarkets3d.net/3d-virtual-tour/housingbank-realestate/phase3/aq-re-100178/index.html</t>
  </si>
  <si>
    <t>الشقة الشمالية الشرقية من طابق التسوية الاولى عدا سطخها</t>
  </si>
  <si>
    <t>الشقة الشمالية الغربية من الطابق الثالث عدا سطحها المعتبر منافع مشتركة</t>
  </si>
  <si>
    <t xml:space="preserve">الشقة الشمالية الغربية من الطابق التسوية الأولى عدا سطحها_x000D_
</t>
  </si>
  <si>
    <t xml:space="preserve">الشقة الشمالية الشرقية من الطابق التسوية الثاني عدا سطحها_x000D_
</t>
  </si>
  <si>
    <t>الشقة الشرقية من طابق التسوية الأولى عدا سطحها</t>
  </si>
  <si>
    <t>https://truemarkets3d.net/3d-virtual-tour/housingbank-realestate/phase3/aq-re-100544/index.html</t>
  </si>
  <si>
    <t>https://www.youtube.com/embed/viZV1Vg_Xuw</t>
  </si>
  <si>
    <t>الشقة الشمالية الشرقية من الطابق الثاني عدا سطحها</t>
  </si>
  <si>
    <t xml:space="preserve">الشقة الغربية من الطابق الثالث عدا سطحها المعتبر خدمات </t>
  </si>
  <si>
    <t>https://maps.app.goo.gl/s5BKJStWnakdgGhf6</t>
  </si>
  <si>
    <t xml:space="preserve">الشقة الجنوبية من الطابق الأرضي عدا السطح_x000D_
</t>
  </si>
  <si>
    <t>https://maps.app.goo.gl/9oaG8k9HSxh8tNWW7</t>
  </si>
  <si>
    <t xml:space="preserve">القسم الشمالي من الطابق الأول والقسم الشمالي من الطابق الثاني عدا سطحه (شقة دوبلكس)_x000D_
</t>
  </si>
  <si>
    <t>https://truemarkets3d.net/3d-virtual-tour/housingbank-realestate/phase3/aq-re-100543/index.html</t>
  </si>
  <si>
    <t>المطبخ 2.JPG, المطبخ.JPG, حمام الشقة الثانية.JPG, غرفة االاستقبال الجزء الثاني من الشقة.JPG, غرفة الجلوس 2.JPG, غرفة الجلوس مدخل 1.JPG, غرفة نوم 1.JPG, غرفة نوم 2.JPG, مدخل الشقة.JPG, مدخل الشقق.JPG, موزع 1 الشقة الثانية.JPG, موزع 1.JPG, واجهة العمارة.JPG</t>
  </si>
  <si>
    <t>https://maps.app.goo.gl/fVZ8FRTAT19V959b8</t>
  </si>
  <si>
    <t>الشقة الشمالية الغربية من طابق التسوية الاولى عدا سطحها</t>
  </si>
  <si>
    <t xml:space="preserve">الشقة الشرقية من طابق التسوية الاولى عدا سطحها  </t>
  </si>
  <si>
    <t>https://maps.app.goo.gl/KgSWhiZLzkgVXR9o9</t>
  </si>
  <si>
    <t xml:space="preserve">الشقة الجنوبية الغربية من طابق الارضي عدا سطحها </t>
  </si>
  <si>
    <t>https://maps.app.goo.gl/G9PeGDn5CkEsJfWYA</t>
  </si>
  <si>
    <t xml:space="preserve">الشقة الشمالية من طابق الأرضي عدا سطحها  </t>
  </si>
  <si>
    <t xml:space="preserve">الشقة الشمالية من الطابق الثاني عدا سطحها_x000D_
</t>
  </si>
  <si>
    <t>https://maps.app.goo.gl/Q4CPo1Jsu7wMYEP18</t>
  </si>
  <si>
    <t>"مساحة الشقة : 146 م2_x000D_
الشقة في الطابق الثالث (الجنوبية الشرقية)"</t>
  </si>
  <si>
    <t>https://truemarkets3d.net/3d-virtual-tour/housingbank-realestate/phase3/aq-re-100211/index.html</t>
  </si>
  <si>
    <t xml:space="preserve">الشقة الجنوبية الغربية من طابق التسوية الاولى عدا سطحها _x000D_
</t>
  </si>
  <si>
    <t xml:space="preserve">الشقة الغربية من الطابق الثالث عدا سطحها المعتبر منافع مشتركه بمساحة 195م2 </t>
  </si>
  <si>
    <t>https://maps.app.goo.gl/nsYLTCxKRNsTn9aT7</t>
  </si>
  <si>
    <t xml:space="preserve">"مساحة الشقة : 162 م2_x000D_
الشقة في الطابق الثالث (الجنوبية)"_x000D_
</t>
  </si>
  <si>
    <t>https://truemarkets3d.net/3d-virtual-tour/housingbank-realestate/phase3/aq-re-100208/index.html</t>
  </si>
  <si>
    <t>https://maps.app.goo.gl/cjTN6wCB3ceEm5SD9</t>
  </si>
  <si>
    <t xml:space="preserve">"مساحة الشقة : 140 م2_x000D_
الشقة في طابق التسوية الثانية"_x000D_
</t>
  </si>
  <si>
    <t>https://truemarkets3d.net/3d-virtual-tour/housingbank-realestate/phase3/aq-re-100181/index.html</t>
  </si>
  <si>
    <t>https://maps.app.goo.gl/YUAbJzqRfddPN5tZ7</t>
  </si>
  <si>
    <t>"_x000D_
مساحة الشقة : 61 م2_x000D_
الشقة تقع في طابق التسوية (الشقة الغربية)</t>
  </si>
  <si>
    <t xml:space="preserve">"مساحة الشقة : 120 م2_x000D_
الشقة تقع في الطابق الأرضي (الشقة الجنوبية الشرقية)"_x000D_
</t>
  </si>
  <si>
    <t>https://truemarkets3d.net/3d-virtual-tour/housingbank-realestate/phase3/aq-re-100200/index.html</t>
  </si>
  <si>
    <t>https://maps.app.goo.gl/CbG9D9wahLWL4rFi9</t>
  </si>
  <si>
    <t>"_x000D_
مساحة الشقة : 137 م2_x000D_
الشقة تقع في الطابق الأرضي (الشقة الشرقية)</t>
  </si>
  <si>
    <t>https://maps.app.goo.gl/mqra95PA6ATXR1FB9</t>
  </si>
  <si>
    <t xml:space="preserve">الشقة الشرقية من الطابق التسوية الثانية عدا سطحها _x000D_
</t>
  </si>
  <si>
    <t>الشقة الشمالية الغربية من الطابق الاول عدا سطحها</t>
  </si>
  <si>
    <t>https://truemarkets3d.net/3d-virtual-tour/housingbank-realestate/phase3/aq-re-100468/index.html</t>
  </si>
  <si>
    <t>https://maps.app.goo.gl/BFhbb3xmzC6bCp6G8</t>
  </si>
  <si>
    <t xml:space="preserve">الشقة الجنوبية الغربية من طابق التسوية الثانية عدا سطحها _x000D_
</t>
  </si>
  <si>
    <t>الشقة الشمالية الشرقية من الطابق الارضي عدا سطحها</t>
  </si>
  <si>
    <t xml:space="preserve">الشقة الشرقية من طابق التسوية الثانية عدا سطحها _x000D_
</t>
  </si>
  <si>
    <t xml:space="preserve">الشقة الشرقية من طابق الارضي عدا سطحها مساحتها 120م2 </t>
  </si>
  <si>
    <t>https://maps.app.goo.gl/EBgNAYkoMALwkcFm9</t>
  </si>
  <si>
    <t>الطابق الأرضي عدا سطحه.</t>
  </si>
  <si>
    <t>الشقة الشرقية من الطابق الأول عدا سطحها</t>
  </si>
  <si>
    <t>https://www.true-markets.net/media/360tour/housing-bank/585-112/index.html</t>
  </si>
  <si>
    <t>https://maps.app.goo.gl/ha7yQqf6mJjpZvor5</t>
  </si>
  <si>
    <t>الشقة الشرقية من طابق التسوية _x000D_
منطقة طبربور ، حي الخزنة</t>
  </si>
  <si>
    <t>https://maps.app.goo.gl/vqvdqEYhMS22T9Ef6</t>
  </si>
  <si>
    <t>الشقة الغربية من طابق الأول عدا سطحها الشقة ضمن بناء واجهاته من الحجر مؤلف 7 طوابق ومخدوم بمصعد .</t>
  </si>
  <si>
    <t xml:space="preserve">"الشقة في الجهة الشمالية من الطابق الأول _x000D_
"_x000D_
</t>
  </si>
  <si>
    <t>https://truemarkets3d.net/3d-virtual-tour/housingbank-realestate/phase3/aq-re-100275/index.html</t>
  </si>
  <si>
    <t>10.JPG, 12.JPG, 12.JPG, 123.JPG, 123.JPG, 13.JPG, 13.JPG, 2.JPG, 5.JPG, 7.JPG, 9.JPG, Capture.JPG, Capture.JPG, Capture.JPG, الحمام.JPG, الحمام.JPG, الحمام.JPG, المدخل لرئيسي.JPG, المطبخ.JPG, باب ومدخل الطابق الثاني الشقة دوبلكيس.JPG, بلكونة.JPG, غرفة الإستقبال.JPG, غرفة الجلوس.JPG, غرفة معيشة الطابق الثاني.JPG, غرفة نوم 1.JPG, غرفة نوم 2 الطابق 2.JPG, غرفة نوم 2.JPG, غرفة نوم 3 الطابق الثاني.JPG, غرفة نوم ماستر 1.JPG, غرفة نوم ماستر الطابق الثاني.JPG, غرفة نوم ماستر.JPG, غرفة نوم.JPG, كراج.JPG, مدخل الشقة.JPG, مطبخ.JPG, موزع 1 الطابق الثاني.JPG, موزع 1 نوم ماستر.JPG, موزع 1.JPG, موزع 2.JPG, موزع نوم ماستر الطابق الثاني.JPG, موزع.JPG</t>
  </si>
  <si>
    <t>https://maps.app.goo.gl/biwVNigx99BKeGWU9</t>
  </si>
  <si>
    <t xml:space="preserve">"_x000D_
مساحة الشقة : 166 م2_x000D_
بالقرب من مسجد الأتراك ، سكن ج _x000D_
"_x000D_
</t>
  </si>
  <si>
    <t>https://truemarkets3d.net/3d-virtual-tour/housingbank-realestate/phase3/aq-re-100022/index.html</t>
  </si>
  <si>
    <t>https://maps.app.goo.gl/YWngCsu8MgHtVo7D6</t>
  </si>
  <si>
    <t>https://truemarkets3d.net/3d-virtual-tour/housingbank-realestate/phase3/aq-re-100461/index.html</t>
  </si>
  <si>
    <t>https://maps.app.goo.gl/sNhJ8SdzjYGY7ZRA8</t>
  </si>
  <si>
    <t>https://truemarkets3d.net/3d-virtual-tour/housingbank-realestate/phase3/aq-re-100465/index.html</t>
  </si>
  <si>
    <t>-copy-09252024_144142.jpg, -copy-09252024_144758.jpg, -copy-09252024_145220.jpg, -copy-09252024_145443.jpg, -copy-09252024_145533.jpg, -copy-09252024_145736.jpg, -copy-09252024_150103.jpg, -copy-09252024_150351.jpg, -copy-09252024_150426.jpg, -copy-09252024_150511.jpg, -copy-09252024_150905.jpg, -copy-09252024_151007.jpg, -copy-09252024_151101.jpg, -copy-09252024_151140.jpg, -copy-09252024_151148.jpg, -copy-09252024_151221.jpg, -copy-09252024_151254.jpg, -copy-09252024_151334.jpg, -copy-09252024_151411.jpg, -copy-09252024_151442.jpg, -copy-09252024_151532.jpg, -copy-09252024_151605.jpg, -copy-09252024_151650.jpg, -copy-09252024_151723.jpg, -copy-09252024_151837.jpg, -copy-2-09242024_103252.jpg, -copy-2-09242024_103329.jpg, -copy-2-09242024_103411.jpg, -copy-2-09242024_103500.jpg, -copy-2-09242024_103559.jpg, -copy-2-09242024_103643.jpg, -copy-2-09242024_103730.jpg, -copy-2-09242024_103817.jpg, -copy-2-09242024_103908.jpg, -copy-2-09242024_104145.jpg, -copy-2-09242024_104302.jpg, -copy-2-09242024_104403.jpg</t>
  </si>
  <si>
    <t>الشقة الشمالية الشرقية من طابق التسوية الثالثة 101 م2 ويتبع لها الشقة الشمالية الشرقية من طابق التسوية الثانية عدا سطحها 101 م2</t>
  </si>
  <si>
    <t>الشقة الجنوبية الشرقية من طابق الأرضي عدا سطحها عمر البناء 10 أعوام  .</t>
  </si>
  <si>
    <t>https://maps.app.goo.gl/Zaxtjn38TEics4Gn9</t>
  </si>
  <si>
    <t>شقة طابقية بمساحة 362 م2 ( الطابق الاخير الثالث )</t>
  </si>
  <si>
    <t>https://www.true-markets.net/media/360tour/housing-bank/396-131/index.html</t>
  </si>
  <si>
    <t>https://maps.app.goo.gl/NiPoAdmQaGX8qdnC7</t>
  </si>
  <si>
    <t>الشقة الشمالية من طابق الثاني بمساحة 95 م2 ويتبع لها الشقة الشمالية من الطابق الثالث مساحتها 95م2 عدا سطحها المعتبر خدمات مشتركة</t>
  </si>
  <si>
    <t>https://truemarkets3d.net/3d-virtual-tour/housingbank-realestate/phase3/aq-re-100536/index.html</t>
  </si>
  <si>
    <t>-copy-09242024_131939.jpg, -copy-09242024_132026.jpg, -copy-09242024_132125.jpg, -copy-09242024_132338.jpg, -copy-09242024_132654.jpg, -copy-09242024_133046.jpg, -copy-09242024_133120.jpg, -copy-09242024_133211.jpg, -copy-09242024_133318.jpg, -copy-09242024_133410.jpg, -copy-09242024_133500.jpg, -copy-09242024_133922.jpg, -copy-09242024_134020.jpg, -copy-09242024_134247.jpg, -copy-09242024_134336.jpg, -copy-09242024_134435.jpg, -copy-09242024_134658.jpg, -copy-09242024_134803.jpg, -copy-09242024_134953.jpg, -copy-09242024_134953.jpg</t>
  </si>
  <si>
    <t>https://maps.app.goo.gl/LPC5QooR1YJtXR6eA</t>
  </si>
  <si>
    <t>https://youtu.be/gbi_PajVXgo</t>
  </si>
  <si>
    <t xml:space="preserve">"مساحة الشقة : 215 م2_x000D_
عدد الطوابق: 2 (دوبلكس)"_x000D_
</t>
  </si>
  <si>
    <t>https://www.true-markets.net/media/360tour/housing-bank/3519-104/index.html</t>
  </si>
  <si>
    <t>https://maps.app.goo.gl/W8PqBKzzpa3bNrRk7</t>
  </si>
  <si>
    <t>"_x000D_
مجموع مساحة الشقة : 288 م2 (144 م2 الأرضي  144 م2 الاول)_x000D_
عدد الطوابق : 2 دوبلكس_x000D_
التنظيم: سكن ب"</t>
  </si>
  <si>
    <t>https://truemarkets3d.net/3d-virtual-tour/housingbank-realestate/phase3/aq-re-100274/index.html</t>
  </si>
  <si>
    <t>https://maps.app.goo.gl/39meozV8myjdN2mA8</t>
  </si>
  <si>
    <t>الشقة الجنوبية الشرقية من الطابق التسوية بمساحة 113م ويتبع لها الشقة الشرقية من الطابق الارضي عدا سطحها ومساحتها 194م</t>
  </si>
  <si>
    <t>https://truemarkets3d.net/3d-virtual-tour/housingbank-realestate/phase3/aq-re-100693/index.html</t>
  </si>
  <si>
    <t>-copy-2-09242024_112130.jpg, -copy-2-09242024_112226.jpg, -copy-2-09242024_112311.jpg, -copy-2-09242024_112409.jpg, -copy-2-09242024_112455.jpg, -copy-2-09242024_112659.jpg, -copy-2-09242024_112659.jpg, -copy-2-09242024_112745.jpg, -copy-2-09242024_112845.jpg, -copy-2-09242024_112935.jpg, -copy-2-09242024_112950.jpg, -copy-2-09242024_113036.jpg, -copy-2-09242024_113140.jpg, -copy-2-09242024_113245.jpg, -copy-2-09242024_113338.jpg, -copy-2-09242024_113425.jpg, -copy-2-09242024_113522.jpg, -copy-2-09242024_113616.jpg, -copy-2-09242024_113708.jpg, -copy-2-09242024_113800.jpg, -copy-2-09242024_113847.jpg, -copy-2-09242024_113944.jpg, -copy-2-09242024_114038.jpg</t>
  </si>
  <si>
    <t>https://maps.app.goo.gl/h49kf4ASkBVqbaWg9</t>
  </si>
  <si>
    <t xml:space="preserve">قطعة ارض  مساحتها 926م2 مقام عليها بناء تجاري عادي ضمن سكن أ يتالف من طابق تسوية مستودعات مساحتها 644م2 وطابق ارضي مخازن مساحتها 644م2 وطابق اول شقق مساحتها 306م2 _x000D_
</t>
  </si>
  <si>
    <t>https://truemarkets3d.net/3d-virtual-tour/housingbank-realestate/phase3/aq-bld-100596/index.html</t>
  </si>
  <si>
    <t>https://maps.app.goo.gl/ut7kx4iH4qQcehx6A</t>
  </si>
  <si>
    <t xml:space="preserve">مجمع تجاري مكون من 8 طوابق (3 تسوية + ارضي + اول +ثاني + ثالث + روف) في الصويفية_x000D_
</t>
  </si>
  <si>
    <t>https://truemarkets3d.net/3d-virtual-tour/housingbank-realestate/phase3/aq-bld-100409/index.html</t>
  </si>
  <si>
    <t>https://maps.app.goo.gl/zaWwSAaRrSgHC3Eq7</t>
  </si>
  <si>
    <t xml:space="preserve">قطعة ارض غير منتظمة الشكل مساحتها 364.560م2 ومخدومه بشارع البناء المقام على قطعة الأرض بناء سكني من الاعمده والطوب المقصور ويتكون من طابق ارضي بمساحة 110م2 وغرفة مخزن مسقوفه زينكو بمساحة 15 م </t>
  </si>
  <si>
    <t>"مساحة الأرض: 188 م2_x000D_
مساحة العقار الاجمالية : 248 م2_x000D_
عدد الطوابق : 2 (أرضي + اول)_x000D_
التنظيم: سكن د"</t>
  </si>
  <si>
    <t>https://maps.app.goo.gl/qJ2N4seNzMWjiszC6</t>
  </si>
  <si>
    <t>عقار مكون من طابقين ارضي واول بمساحة اجمالية 150 م</t>
  </si>
  <si>
    <t>مساحة القطعة 390.79 م2</t>
  </si>
  <si>
    <t>https://maps.app.goo.gl/1fGamv9TH4bXjKAZ7</t>
  </si>
  <si>
    <t xml:space="preserve">قطعة أرض مساحتها 530م2 مقام عليها بناء مساحته 400 م2 عدد الطوابق: 2 طوابق (تسوية + ارضي) </t>
  </si>
  <si>
    <t>https://truemarkets3d.net/3d-virtual-tour/housingbank-realestate/phase3/aq-bld-100472/index.html</t>
  </si>
  <si>
    <t>https://maps.app.goo.gl/kCTXZ2VJm3L2ca5e7</t>
  </si>
  <si>
    <t>مساحة القطعة 761.610 م2</t>
  </si>
  <si>
    <t>https://maps.app.goo.gl/coieZUwdi4zRHJkZ8</t>
  </si>
  <si>
    <t xml:space="preserve">قطعة ارض مقام عليها بناء مؤلف من طابق ارضي بمساحة 191 م2 وطابق اول بمساحة 191م2 ورووف _x000D_
</t>
  </si>
  <si>
    <t>https://maps.app.goo.gl/WvAi5SX7Mp81g2B66</t>
  </si>
  <si>
    <t>العقار القائم على قطعة الأرض مقام عليها بناء سكني مكون من طابق ارضي بمساحة 238م2 وطابق اول بمساحة 119م2  .</t>
  </si>
  <si>
    <t xml:space="preserve">قطعة  بمساحة 506م2 </t>
  </si>
  <si>
    <t>https://maps.app.goo.gl/tWyaDoSy31YBob8g6</t>
  </si>
  <si>
    <t xml:space="preserve">"مساحة الأرض: 1,176 م2_x000D_
مساحة العقار الاجمالية : 907 م2_x000D_
التنظيم: سكن ب_x000D_
عدد الطوابق : 3 طوابق (أرضي + اول + ثاني)_x000D_
"_x000D_
</t>
  </si>
  <si>
    <t>https://maps.app.goo.gl/BCCkCtzLbmBDR2Hv8</t>
  </si>
  <si>
    <t>مساحة القطعة 4243.160 م2</t>
  </si>
  <si>
    <t xml:space="preserve">نفقات العقارات المتفرقة_x000D_
Miscellaneous real estate expenses_x000D_
</t>
  </si>
  <si>
    <t xml:space="preserve">قطعة الأرض مقام عليها بناء مكون من طابق تسوية وارضي مساحة كل طابق 360م2 _x000D_
</t>
  </si>
  <si>
    <t>https://maps.app.goo.gl/qUh4fj5KqHyw2WJt8</t>
  </si>
  <si>
    <t xml:space="preserve">قطعة ارض بمساحة 891 م2_x000D_
</t>
  </si>
  <si>
    <t>https://maps.app.goo.gl/BnLEFw21ewgdNhkTA</t>
  </si>
  <si>
    <t xml:space="preserve">مساحة القطعة 1579 م2    </t>
  </si>
  <si>
    <t>https://maps.app.goo.gl/A8nNS1jxjbyHNkzJ6</t>
  </si>
  <si>
    <t xml:space="preserve">البناء المقام على القطعة له واجهتين من الحجر والباقي دكة ويتكون من تسوية بمساحة 123م2وطابق رضي مساحته 123م2_x000D_
</t>
  </si>
  <si>
    <t>https://maps.app.goo.gl/KfZEkGEim1Hb1viV6</t>
  </si>
  <si>
    <t xml:space="preserve">"مساحة الأرض: 501.94 م2_x000D_
مساحة العقار الاجمالية : 389م2_x000D_
التنظيم: خارج التنظيم (سكن جمعيات)_x000D_
عدد الطوابق : 2 (أرضي + أول)_x000D_
"_x000D_
</t>
  </si>
  <si>
    <t>https://maps.app.goo.gl/392iBsGCe5vXVio58</t>
  </si>
  <si>
    <t>"مساحة الأرض: 787 م2_x000D_
مساحة العقار الاجمالية : 634 م2_x000D_
التنظيم: سكن ب_x000D_
عدد الطوابق : 3 طوابق (تسوية + أرضي + اول)"</t>
  </si>
  <si>
    <t>https://maps.app.goo.gl/WFoG8B9wx1pYCBYw8</t>
  </si>
  <si>
    <t xml:space="preserve">قطعة ارض بمساحة 555 م2_x000D_
</t>
  </si>
  <si>
    <t>https://maps.app.goo.gl/g8BmRrkiQN7cGfYK9</t>
  </si>
  <si>
    <t>قطعة أرض مقام عليها بناء مكون من 5 طوابق بمساحة بناء إجمالية 1785م2</t>
  </si>
  <si>
    <t>https://maps.app.goo.gl/2wjRy147TJxMGsnn8</t>
  </si>
  <si>
    <t xml:space="preserve">"مساحة الأرض: 525 م2_x000D_
مساحة العقار الاجمالية : 594 م2_x000D_
التنظيم: سكن ب_x000D_
عدد الطوابق : 3 طوابق (أرضي + اول + ثاني)"_x000D_
</t>
  </si>
  <si>
    <t>https://truemarkets3d.net/3d-virtual-tour/housingbank-realestate/phase3/aq-bld-100129/index.html</t>
  </si>
  <si>
    <t>-copy-09252024_124621.jpg, -copy-09252024_124734.jpg, -copy-09252024_124947.jpg</t>
  </si>
  <si>
    <t>https://maps.app.goo.gl/Kqac5LtiiW5gQHpT9</t>
  </si>
  <si>
    <t xml:space="preserve">مقام عليه بناء سكني من 4 واجهات من الحجر مؤلف من طابقين طابق تسوية 337 م2 وطابق الارضي 346 م2 </t>
  </si>
  <si>
    <t>https://maps.app.goo.gl/vKaeiF5Q2e28jMaD9</t>
  </si>
  <si>
    <t xml:space="preserve">عقار مكون من طابق ارضي بمساحة 159م2  وطابق اول بمساحة 159م2 </t>
  </si>
  <si>
    <t>بناء صناعي في مدينة التجمعات الصناعية مساحة البناء 15319 م2 - على قطعة ارض مساحتها 4865.350م2 في منطقة سحاب وهي منطقة تنموية و يحمل الترميز K ومكون من 5 طوابق وتنظيم القطعة صناعات خفيفة بأحكام خاصة</t>
  </si>
  <si>
    <t>https://maps.app.goo.gl/a8bcJuDZijW4pmwC6</t>
  </si>
  <si>
    <t>الوحدة رقم 111 مساحتها 866 القائمة على قطعة ارض رقم 1322 وتقع في منطقة تنموية وهي مدينة التجمعات الصناعية - سحاب</t>
  </si>
  <si>
    <t>https://maps.app.goo.gl/UhH9uNEipkVUzRC19</t>
  </si>
  <si>
    <t>الوحدة رقم 122 القائمة على قطعة ارض رقم 1322 وتقع في منطقة تنموية وهي مدينة التجمعات الصناعية - سحاب</t>
  </si>
  <si>
    <t>الوحدة رقم 222 القائمة على قطعة ارض رقم 1322 وتقع في منطقة تنموية وهي مدينة التجمعات الصناعية - سحاب</t>
  </si>
  <si>
    <t>الوحدة رقم 221 القائمة على قطعة ارض رقم 1322 وتقع في منطقة تنموية وهي مدينة التجمعات الصناعية - سحاب</t>
  </si>
  <si>
    <t>بناء صناعي على قطعة ارض مساحتها 7075.390م2 في مدينة التجمعات الصناعية - سحاب وهي منطقة تنموية و يحمل الترميز O ومكون من 4 طوابق وتنظيم القطعة صناعات خفيفة بأحكام خاصة</t>
  </si>
  <si>
    <t>https://maps.app.goo.gl/8wcnWf7n91sNC15N9</t>
  </si>
  <si>
    <t>قطعة أرض مقام عليها هنجر بمساحة بناء 3456م2 و مبنى إدارة وسكن عمال  بمساحة 375م2 ومبنى فرعي بمساحة 50م2 و بئر مياه مساحة 935 م2</t>
  </si>
  <si>
    <t>https://maps.app.goo.gl/ZZNr3uZ2B9VfJq4JA</t>
  </si>
  <si>
    <t>الوحدة رقم 112 القائمة على قطعة ارض رقم 1322 وتقع في منطقة تنموية وهي مدينة التجمعات الصناعية - سحاب</t>
  </si>
  <si>
    <t>"مساحة الأرض: 39658 م2_x000D_
مساحة الأبنية الاجمالية : 11198 م2_x000D_
التنظيم: الارض زراعي خارج التنظيم وباستعمال صناعي</t>
  </si>
  <si>
    <t>https://truemarkets3d.net/3d-virtual-tour/housingbank-realestate/phase3/aq-bld-100411/index.html</t>
  </si>
  <si>
    <t>https://maps.app.goo.gl/MaUwChyM4wn7vAck7</t>
  </si>
  <si>
    <t xml:space="preserve">"مساحة الأرض: 2388 م2_x000D_
</t>
  </si>
  <si>
    <t>https://maps.app.goo.gl/ZwwfBcSH7CzboKi2A</t>
  </si>
  <si>
    <t xml:space="preserve">مساحة الأرض: 1153 م2_x000D_
مساحة البناء الاجمالية : 480 م2_x000D_
بناء مكون من طابقين  </t>
  </si>
  <si>
    <t>https://maps.app.goo.gl/SJwpPpDW1nWnqvKS8</t>
  </si>
  <si>
    <t>قطعتي الأرض أرقام 441 + 444 بمساحة اجمالية 1288.1 متر مربع</t>
  </si>
  <si>
    <t>مساحة الارض 907 م2</t>
  </si>
  <si>
    <t>https://truemarkets3d.net/3d-virtual-tour/housingbank-realestate/phase3/aq-bld-100430/index.html</t>
  </si>
  <si>
    <t>https://maps.app.goo.gl/FX1k5ZH14zG4U4kn8</t>
  </si>
  <si>
    <t xml:space="preserve">"مساحة الأرض: 1021 م2_x000D_
</t>
  </si>
  <si>
    <t>https://truemarkets3d.net/3d-virtual-tour/housingbank-realestate/phase3/aq-bld-100190/index.html</t>
  </si>
  <si>
    <t>https://maps.app.goo.gl/CZPHT5bQp7ARQEYXA</t>
  </si>
  <si>
    <t>العقار القائم على قطعة الارض رقم 920 حوض عرقوب خلدا قرية صويلح من اراضي شمال عمان، مساحتها 2111م2 ومساحة الأبنية 2199م2</t>
  </si>
  <si>
    <t>https://truemarkets3d.net/3d-virtual-tour/housingbank-realestate/phase3/aq-bld-100429/index.html</t>
  </si>
  <si>
    <t>https://maps.app.goo.gl/ZqdagQpyyJbkXfMf7</t>
  </si>
  <si>
    <t>"مساحة الأرض: 983.34 م2</t>
  </si>
  <si>
    <t>https://www.true-markets.net/media/360tour/housing-bank/1175/index.html</t>
  </si>
  <si>
    <t>https://maps.app.goo.gl/2aAmYmoF9Q1vtC9G6</t>
  </si>
  <si>
    <t xml:space="preserve">قطعة 431 منتظمة الشكل مساحة 1004 يخدمها شارع امامي سعة 12 ودخله جانبية غير نافذه 6م2 تنخفض عن منسوب الشارع الامامي بمعدل طابقين مقام ضمنها بناء الفيلا الرئيسي وصفة تاليا مقام على قطعة 431 فيلا سكنية مؤلفة من 3 طوابق وصفهم _x000D_
طابق تسوية 2 مساحة 216م2 تتالف من شقة + قسم خدمات _x000D_
طابق تسوية 1 مساحة 433م2 _x000D_
الطابق الأرضي مساحة 433م2 شقة طابقية  .     _x000D_
</t>
  </si>
  <si>
    <t>https://maps.app.goo.gl/pTgVnDozAftarPw47</t>
  </si>
  <si>
    <t>قطعة ارض مقام عليها فيلا مكونه من اربع طوابق طابق تسوية بمساحة 293 م2 وطابق ارضي مساحة 293م2 طابق ارضي بمساحة 293م2 وطابق ثاني مساحة 146م2</t>
  </si>
  <si>
    <t xml:space="preserve">قطعة ارض مقام عليها فيلا_x000D_
</t>
  </si>
  <si>
    <t>https://maps.app.goo.gl/BSoFZbkYfW4U2jCf9</t>
  </si>
  <si>
    <t>مساحة قطعة الأرض 499.580 متر مربع</t>
  </si>
  <si>
    <t>https://maps.app.goo.gl/4j8ueU14nPypkbxx7</t>
  </si>
  <si>
    <t xml:space="preserve">بناء طابق ارضي مضافة زينكو بناء فرعي قرميد بركه سباحه ومضخات جلسه من الاعمده مسقوفه قرميد ساحات خارجية مبلطه </t>
  </si>
  <si>
    <t xml:space="preserve">ارض مساحتها - 771 م2 _x000D_
</t>
  </si>
  <si>
    <t>حنو السكه.jpeg</t>
  </si>
  <si>
    <t>https://maps.app.goo.gl/xWvhhPpLzNgGCCHT6</t>
  </si>
  <si>
    <t xml:space="preserve">ارض مساحتها - 754 م2 منظمة سكن ب_x000D_
</t>
  </si>
  <si>
    <t>AQ-LND-100425.jpeg, AQ-LND-100476.jpeg, حنو السكه.jpeg</t>
  </si>
  <si>
    <t>https://maps.app.goo.gl/Gtpt8xaACQYT3XueA</t>
  </si>
  <si>
    <t xml:space="preserve">قطعة أرض خالية من الأبنية  يوجد بها أشجار زيتون </t>
  </si>
  <si>
    <t xml:space="preserve">ارض مساحتها - 737 م2 _x000D_
</t>
  </si>
  <si>
    <t>https://maps.app.goo.gl/jYJ6GS7CYZLeL1ci8</t>
  </si>
  <si>
    <t xml:space="preserve">ارض مساحتها - 841 م2 _x000D_
</t>
  </si>
  <si>
    <t>https://maps.app.goo.gl/LjLqjmFroMsT1p427</t>
  </si>
  <si>
    <t xml:space="preserve">ارض مساحتها - 850 م2 _x000D_
</t>
  </si>
  <si>
    <t>https://maps.app.goo.gl/MnzGw7gXvVmfvBmLA</t>
  </si>
  <si>
    <t xml:space="preserve">قطعة ارض رقم 404 حوض المدوره 9 من اراضي شمال عمان </t>
  </si>
  <si>
    <t xml:space="preserve">ارض مساحتها - 884 م2 منظمة سكن ب_x000D_
</t>
  </si>
  <si>
    <t>https://maps.app.goo.gl/v9f3f9AzTj5z6k2M8</t>
  </si>
  <si>
    <t xml:space="preserve">قطعة ارض خاليا من الشواغل ارض عباره عن سليخ </t>
  </si>
  <si>
    <t>https://maps.app.goo.gl/oadyidXTo78f7Y3T8</t>
  </si>
  <si>
    <t xml:space="preserve">قطعة أرض مضلعة الشكل تقع في منطقة جبلية وواجهتها على الشارع م وبها مناسيب مختلف والقطعة محفورة _x000D_
</t>
  </si>
  <si>
    <t>AQ-LND-100452.jpeg</t>
  </si>
  <si>
    <t>https://maps.app.goo.gl/gqfMFVdFKwuCKU136</t>
  </si>
  <si>
    <t xml:space="preserve">قطعة ارض خاليا من الانشاءات </t>
  </si>
  <si>
    <t>https://maps.app.goo.gl/ctoAw4Jkaa46Hgc4A</t>
  </si>
  <si>
    <t>https://maps.app.goo.gl/G2fb3rHM3ERigRXU6</t>
  </si>
  <si>
    <t>https://maps.app.goo.gl/MsMohh799Nax7peE9</t>
  </si>
  <si>
    <t>https://maps.app.goo.gl/DLkn8jXwXZdZCBnZ7</t>
  </si>
  <si>
    <t>https://maps.app.goo.gl/QKNp28Eedx1nXDfQ7</t>
  </si>
  <si>
    <t>https://maps.app.goo.gl/quRGiowxTBpUyEtaA</t>
  </si>
  <si>
    <t>https://maps.app.goo.gl/SPn5LMUHdYbS6B7u8</t>
  </si>
  <si>
    <t>https://maps.app.goo.gl/U66AiAFSv7aRNDwH6</t>
  </si>
  <si>
    <t>https://maps.app.goo.gl/zFHBHzz42MZHGNa2A</t>
  </si>
  <si>
    <t xml:space="preserve">قطعة ارض خالية من الابنية والانشاءات مساحتها - 802 م2 </t>
  </si>
  <si>
    <t>AQ-LND-100103.jpeg</t>
  </si>
  <si>
    <t>https://maps.app.goo.gl/YPSQLb655B6h7NoW7</t>
  </si>
  <si>
    <t xml:space="preserve">قطعة الارض خاليا من الانشاءات </t>
  </si>
  <si>
    <t>https://maps.app.goo.gl/Cs5hvB6k2yuN8GMH6</t>
  </si>
  <si>
    <t xml:space="preserve">ارض مساحتها -1,322 م2 منظمة سكن د_x000D_
</t>
  </si>
  <si>
    <t>AQ-LND-100424.jpeg</t>
  </si>
  <si>
    <t>https://maps.app.goo.gl/WBUQqXA4gLND48kUA</t>
  </si>
  <si>
    <t>https://maps.app.goo.gl/jvgU1UXEWfvHr3Jj6</t>
  </si>
  <si>
    <t>https://maps.app.goo.gl/QQPuxL5by4DzCK8F7</t>
  </si>
  <si>
    <t xml:space="preserve">قطة ارض خاليا من الانشاءات </t>
  </si>
  <si>
    <t>https://maps.app.goo.gl/dmrQD7HpjAKDWgH69</t>
  </si>
  <si>
    <t>https://maps.app.goo.gl/uLUMqwA51BwqkStM7</t>
  </si>
  <si>
    <t>قطعة ارض خاليه من الانشاءات</t>
  </si>
  <si>
    <t>https://maps.app.goo.gl/vqEp8YxRWwKJeWBPA</t>
  </si>
  <si>
    <t>https://maps.app.goo.gl/MdAXn9YLwBcH5rDS9</t>
  </si>
  <si>
    <t>https://maps.app.goo.gl/Skrqwf7r3wdJYpw1A</t>
  </si>
  <si>
    <t xml:space="preserve">قطعة ارض خاليه من الانشاءات </t>
  </si>
  <si>
    <t>https://maps.app.goo.gl/42K7oRJn1DkVELz27</t>
  </si>
  <si>
    <t xml:space="preserve">قطعة ارض خالي من الانشاءات </t>
  </si>
  <si>
    <t>https://maps.app.goo.gl/PzxKSsMrfUg6T8AMA</t>
  </si>
  <si>
    <t>قطعة ارض خاليا من الانشاءات</t>
  </si>
  <si>
    <t>https://maps.app.goo.gl/o7cRey1CUqSGMQAb9</t>
  </si>
  <si>
    <t>https://maps.app.goo.gl/A9tsvAhQTLtobTK4A</t>
  </si>
  <si>
    <t>https://maps.app.goo.gl/TUA87RZKwj9BjkHs7</t>
  </si>
  <si>
    <t xml:space="preserve">"محافظة العاصمة - أراضي جنوب عمان - قرية الزيتونة_x000D_
 _x000D_
القطعة من نوع الملك وهي خارج التنظيم تقع شمال شرق مشروع الاندلسية بحدود 750 م وهي منتظمة الشكل مستوية ذات تربة حمراء صالحة للزراعة والبناء مخدومة بطريق عرضه 6 م ترابي من جهتها الغربية و طريق 6 م غير ممهد من جهتها الشمالية وجزء من جهتها الشرقية مخدومة بطريق 10 م غير ممهد ، طول واجهة القطعة على طريق 6 م الغربي بحدود 273 م2 وعرض واجهة القطعة 110 م"_x000D_
</t>
  </si>
  <si>
    <t>https://maps.app.goo.gl/HuTdTCQkp6Ky5f9z7</t>
  </si>
  <si>
    <t>https://maps.app.goo.gl/nDoQ7cguUoQW1Ehg6</t>
  </si>
  <si>
    <t>قطعة ارض منتظمة الشكل ومحاطة بالأسوار من 4 جهات ويحيط بها مباني من ثلاثة جهات والجهة الرابعة على الشارع ويوجد بها أشجار سرو عدد 10 وتصلح لبناء إسكان"</t>
  </si>
  <si>
    <t>https://truemarkets3d.net/3d-virtual-tour/housingbank-realestate/phase3/aq-lnd-100794/index.html</t>
  </si>
  <si>
    <t>AQ-LND-100794.jpeg</t>
  </si>
  <si>
    <t>https://maps.app.goo.gl/UvEAvXSTQDCEjZgM6</t>
  </si>
  <si>
    <t xml:space="preserve">قطعة ارض خالية من الانشاءات </t>
  </si>
  <si>
    <t>https://maps.app.goo.gl/bKLMF3Rz315c9uYX7</t>
  </si>
  <si>
    <t xml:space="preserve">قطعة ارض خالية من الأبنية والاشجار وبنسبة انحدار 7% و الأرض شبة صخرية </t>
  </si>
  <si>
    <t xml:space="preserve">القطعة رقم 914 حوض اللويبدة الوسطاني 14 قرية عمان / اراضي عمان </t>
  </si>
  <si>
    <t>AQ-LND-100951.jpeg, AQ-LND-100952.jpeg</t>
  </si>
  <si>
    <t>https://maps.app.goo.gl/MdWzffUtbwSijSHUA</t>
  </si>
  <si>
    <t xml:space="preserve">القطعة رقم 915 حوض اللويبدة الوسطاني 14 قرية عمان اراضي عمان </t>
  </si>
  <si>
    <t>https://maps.app.goo.gl/812eQXucopMMo1bE7</t>
  </si>
  <si>
    <t xml:space="preserve">قطعة ارض خاليه من الانشاءات والابنية </t>
  </si>
  <si>
    <t>https://maps.app.goo.gl/XtCSgLarZ3UozvQU8</t>
  </si>
  <si>
    <t xml:space="preserve">قطعة ارض فارغه </t>
  </si>
  <si>
    <t>https://maps.app.goo.gl/oEeoJVH3KTAHbshS6</t>
  </si>
  <si>
    <t xml:space="preserve">مكتب في شارع المدينة المنورة - حي التلاع الشمالي - قرب مستشفى ابن الهيثم_x000D_
</t>
  </si>
  <si>
    <t>https://truemarkets3d.net/3d-virtual-tour/housingbank-realestate/phase3/aq-re-100186/index.html</t>
  </si>
  <si>
    <t>-copy-09242024_164719.jpg, -copy-09242024_164835.jpg, -copy-09242024_164934.jpg, -copy-09242024_165034.jpg, -copy-09242024_165205.jpg, -copy-09242024_165251.jpg, -copy-09242024_165350.jpg, -copy-09242024_165543.jpg</t>
  </si>
  <si>
    <t>https://maps.app.goo.gl/QsRwMkUsu8fEteyQA</t>
  </si>
  <si>
    <t xml:space="preserve">الطابق الثاني عدا سطحه بمساحة 725م2   </t>
  </si>
  <si>
    <t>https://maps.app.goo.gl/bpQ5eUD1qqszKVWL6</t>
  </si>
  <si>
    <t>المكتب الثامن من الطابق الخامس عدا سطحه وتبلغ مساحته 158</t>
  </si>
  <si>
    <t>"مساحة الشقة : 170م2_x000D_
الشقة الشرقية من الطابق الثاني عدا سطحها "</t>
  </si>
  <si>
    <t>https://truemarkets3d.net/3d-virtual-tour/housingbank-realestate/phase3/aq-re-100040/index.html</t>
  </si>
  <si>
    <t>https://maps.app.goo.gl/jHwBFzGHdvHXG8GW8</t>
  </si>
  <si>
    <t>"مساحة الشقة : 170 م2_x000D_
الشقة في الطابق الأول"</t>
  </si>
  <si>
    <t>https://truemarkets3d.net/3d-virtual-tour/housingbank-realestate/phase3/aq-re-100036/index.html</t>
  </si>
  <si>
    <t>"مساحة الشقة : 162 م2_x000D_
الشقة الغربية من الطابق الثاني عدا سطحها"</t>
  </si>
  <si>
    <t>https://truemarkets3d.net/3d-virtual-tour/housingbank-realestate/phase3/aq-re-100038/index.html</t>
  </si>
  <si>
    <t>"مساحة الشقة : 162 م2_x000D_
الشقة الغربية من الطابق الثالث عدا سطحها"</t>
  </si>
  <si>
    <t>https://truemarkets3d.net/3d-virtual-tour/housingbank-realestate/phase3/aq-re-100041/index.html</t>
  </si>
  <si>
    <t xml:space="preserve">"مساحة الشقة : 354م2_x000D_
سطح الطابق الثالث مقام على قسم منه طابق (روف) رابع عدا سطحه _x000D_
</t>
  </si>
  <si>
    <t>https://truemarkets3d.net/3d-virtual-tour/housingbank-realestate/phase3/aq-re-100043/index.html</t>
  </si>
  <si>
    <t>الوحدة رقم 131 القائمة على قطعة ارض رقم 1317 وتقع في منطقة تنموية وهي مدينة التجمعات الصناعية - سحاب</t>
  </si>
  <si>
    <t>https://truemarkets3d.net/3d-virtual-tour/housingbank-realestate/phase3/aq-re-100497/index.html</t>
  </si>
  <si>
    <t>https://maps.app.goo.gl/w9McADekkxAhvTfr9</t>
  </si>
  <si>
    <t>https://www.youtube.com/embed/cdXT-7v2jT4</t>
  </si>
  <si>
    <t xml:space="preserve">الشقة الغرببة من طابق الثاني عدا سطحها بمساحة 58م2 </t>
  </si>
  <si>
    <t>https://maps.app.goo.gl/BeWyApmk7QkgqGiH8</t>
  </si>
  <si>
    <t>https://maps.app.goo.gl/NjZWGWM4gPdVSFy98</t>
  </si>
  <si>
    <t>الشقة الشمالية الوسطى من طابق الثاني عدا سطحها بمساحة 93 م2</t>
  </si>
  <si>
    <t>https://maps.app.goo.gl/wFsY2pvrwCUoWDti9</t>
  </si>
  <si>
    <t xml:space="preserve">الشقة الشمالية الغربية من طابق التسوية عدا سطخها_x000D_
</t>
  </si>
  <si>
    <t xml:space="preserve">الشقة الجنوبية الشرقية من الطابق الثاني عدا سطحها_x000D_
</t>
  </si>
  <si>
    <t>https://maps.app.goo.gl/c6KHWZSnGQShxnEK6</t>
  </si>
  <si>
    <t>https://maps.app.goo.gl/ysQrTwwWYW7k2JzN6</t>
  </si>
  <si>
    <t xml:space="preserve">الشقة الشمالية من طابق الارضي عدا سطحها </t>
  </si>
  <si>
    <t>الشقة الشرقية من الطابق الثاني عدا سطحها يتبع لها تراس مسقوف قرميد مساحته 17 م2</t>
  </si>
  <si>
    <t>https://maps.app.goo.gl/q56T4qrzNhxTVmHf8</t>
  </si>
  <si>
    <t xml:space="preserve">قطعة الأرض مساحتها 656م2 مقام عليها بناء من طابقين كل طابق عبارة عن شقة ومساحة البناء الإجمالية 481م2 </t>
  </si>
  <si>
    <t>https://maps.app.goo.gl/acxtEjfGTZzxdM5YA</t>
  </si>
  <si>
    <t>قطعة أرض مساحتها 585م2 عليها بناء مكون من طابقين كل طابق شقتين بمساحة بناء اجمالية 498م2</t>
  </si>
  <si>
    <t>https://maps.app.goo.gl/sMsYAD8MvwUamAhp8</t>
  </si>
  <si>
    <t xml:space="preserve">قطعة أرض مساحتها 619م2 مقام عليها بناء مساحته الإجمالية 498م2 مكون من طابقين وكل طابق مكون من شقتين </t>
  </si>
  <si>
    <t>مشروع راية العقبة.jpeg</t>
  </si>
  <si>
    <t>https://maps.app.goo.gl/dVvkgv9WWQKRvsbM6</t>
  </si>
  <si>
    <t xml:space="preserve">قطعة ارض مساحتها 867م2 عليها بناء مكون من طابقين (وحدتين دوبلكس) مساحة البناء 463م2 </t>
  </si>
  <si>
    <t>https://maps.app.goo.gl/uckWpZWGcqRsChhU6</t>
  </si>
  <si>
    <t>قطعة أرض  مساحتها 624 م2  عليها بناء مكون من طابقين وكل طابق عبارة عن شقة ومساحة البناء الإجمالية 481م2</t>
  </si>
  <si>
    <t>https://maps.app.goo.gl/Sxzwf7ftGR7dcE7e9</t>
  </si>
  <si>
    <t>قطعة أرض مساحتها 537م2 عليها بناء من طابقين مكون من وحدتين متلاصقتين كل وحدة عبارة عن فيلا دوبلكس بمساحة بناء 463</t>
  </si>
  <si>
    <t>https://maps.app.goo.gl/wQcbxUmcm3aMuqjB6</t>
  </si>
  <si>
    <t>قطعة ارض مساحتها 673م2 مقام عليها عقار سكني مكون من طابقين  وحدتين متلاصقتين دوبلكس مساحة البناء 463م2</t>
  </si>
  <si>
    <t>https://maps.app.goo.gl/yFSkEpU5FfsBkCHi9</t>
  </si>
  <si>
    <t>قطعة أرض مساحتها 547م2 مقام عليها عقار مكون من طابقين كل طابق شقتين بمساحة بناء 498م2</t>
  </si>
  <si>
    <t>https://maps.app.goo.gl/3oZhiSZvSeZyg1VMA</t>
  </si>
  <si>
    <t xml:space="preserve">قطعة أرض مساحتها 561م2  عليها بناء مساحته الإجمالية 498م2 مكون من طابقين كل طابق شقتين </t>
  </si>
  <si>
    <t>https://maps.app.goo.gl/sxpQmuA2SFPN17Hq5</t>
  </si>
  <si>
    <t xml:space="preserve">قطعة ارض مساحتها 698م2 مقام عليها بناء من طابقين وتحتوي على وحدات متلاصقة  عدد 2 دوبلكس بمساحة 463م2 </t>
  </si>
  <si>
    <t>https://maps.app.goo.gl/wKGiDDn9hYwjoSE8A</t>
  </si>
  <si>
    <t xml:space="preserve">قطعة أرض مساحتها 562م2  عليها بناء مساحته 498م2 من طابقين كل طابق شقتين </t>
  </si>
  <si>
    <t>https://maps.app.goo.gl/eLjYtTMXYz5mX9EG8</t>
  </si>
  <si>
    <t xml:space="preserve">قطعة أرض  مساحتها 577م2 عليها عقار مكون من طابقين كل طابق عبارة عن شقتين </t>
  </si>
  <si>
    <t>https://maps.app.goo.gl/c6Z5grEYjo4Mn4zK6</t>
  </si>
  <si>
    <t xml:space="preserve">قطعة أرض مساحتها 656م2 مقام عليها بناء من طابقين مكون من وحدتين دوبلكس مساحة البناء الإجمالية 463م2 </t>
  </si>
  <si>
    <t>https://maps.app.goo.gl/dGSfoa5pyvhnpvZv9</t>
  </si>
  <si>
    <t>قطعة ارض مساحتها 712 م2 عليها بناء مكون من طابقين (فيلا) بمساحة بناء 319م2</t>
  </si>
  <si>
    <t>https://maps.app.goo.gl/8G3EJNRJnahUe9idA</t>
  </si>
  <si>
    <t>قطعة أرض مساحتها 952م2 عليها بناء من طابقين (فيلا) بمساحة بناء 319م2</t>
  </si>
  <si>
    <t>https://maps.app.goo.gl/wrUzWB7Wz56bmSjJ6</t>
  </si>
  <si>
    <t>قطعة ارض مساحتها 808 م2 مقام عليها بناء مكون من طابقين (فيلا) بمساحة بناء 319م2</t>
  </si>
  <si>
    <t>https://maps.app.goo.gl/tXuxhwExAkSccyrt8</t>
  </si>
  <si>
    <t xml:space="preserve">قطعة ارض مساحتها 1104م2  عليها بناء مكون من طابقين (فيلا) بمساحة بناء 319م2 </t>
  </si>
  <si>
    <t>https://maps.app.goo.gl/W8TTghfSHfGXq18T8</t>
  </si>
  <si>
    <t>قطعة ارض مساحتها 776م2 مقام عليها بناء من طابقين فيلا بمساحة بناء 319م2</t>
  </si>
  <si>
    <t>https://maps.app.goo.gl/Qc2cF177jLpHNhLs8</t>
  </si>
  <si>
    <t>قطعة ارض مقام عليها بناء فيلا مكون من طابقين (فيلا) بمساحة 319م2</t>
  </si>
  <si>
    <t>https://maps.app.goo.gl/NHNYW4VsHNzLZyjp7</t>
  </si>
  <si>
    <t>قطعة ارض مساحتها 813م2  مقام عليها بناء مكون من طابقين (فيلا) بمساحة بناء 319م2</t>
  </si>
  <si>
    <t>https://maps.app.goo.gl/8dWfuwXEzYH1TaWH7</t>
  </si>
  <si>
    <t>قطعة أرض مساحتها 870م2 مقام عليها بناء من طابقين بمساحة بناء 319م2</t>
  </si>
  <si>
    <t>https://maps.app.goo.gl/AwEBGUWkkSN1CPzq8</t>
  </si>
  <si>
    <t xml:space="preserve">قطعة أرض مساحتها 6437م2  خالية من الإنشاءات </t>
  </si>
  <si>
    <t>https://maps.app.goo.gl/aqXFne7ZPGK5iBg69</t>
  </si>
  <si>
    <t xml:space="preserve">قطعة ارض مساحتها 348 م2 مبلطة  خالية من الإنشاءات </t>
  </si>
  <si>
    <t>https://maps.app.goo.gl/iFvRf3C4SZN4DtJJ9</t>
  </si>
  <si>
    <t xml:space="preserve">قطعة أرض مساحتها 102م2  خالية من الإنشاءات </t>
  </si>
  <si>
    <t>https://maps.app.goo.gl/ZE2GSWey3vABfdF6A</t>
  </si>
  <si>
    <t xml:space="preserve">قطعة أرض خالية من الإنشاءات مساحتها 82م2 </t>
  </si>
  <si>
    <t>https://maps.app.goo.gl/zTzHGbzdVNQ797yP9</t>
  </si>
  <si>
    <t xml:space="preserve">قطعة ارض خالية من الإنشاءات مساحتها 13345م2 محاطة بسور وشمعات من 3 جهات </t>
  </si>
  <si>
    <t>https://maps.app.goo.gl/eYCnPrHRR1r2vCb2A</t>
  </si>
  <si>
    <t xml:space="preserve">قطعة أرض مساحتها 569 م2 خالية من البناء </t>
  </si>
  <si>
    <t>https://maps.app.goo.gl/cXE6xjXwPq8QKvLu5</t>
  </si>
  <si>
    <t xml:space="preserve">قطعة أرض مساحتها 96م2 خالية من الإنشاءات </t>
  </si>
  <si>
    <t>https://maps.app.goo.gl/JN9bmXK2ZX3hZhNG7</t>
  </si>
  <si>
    <t xml:space="preserve">قطعة أرض مساحتها 1004خالية من الإنشاءات - ويوجد بها بركة سباحة </t>
  </si>
  <si>
    <t>https://maps.app.goo.gl/1LZXqjAaV37VxDD18</t>
  </si>
  <si>
    <t xml:space="preserve">قطعة أرض خالية من الإنشاءات مساحتها 7600م2 </t>
  </si>
  <si>
    <t>https://maps.app.goo.gl/AUVBSpwWNfJvCNb89</t>
  </si>
  <si>
    <t xml:space="preserve">قطعة أرض مساحتها 207م2 خالية من الإنشاءات </t>
  </si>
  <si>
    <t>https://maps.app.goo.gl/8SAbCTc8QqVS1Mn97</t>
  </si>
  <si>
    <t>قطعة الأرض مساحتها 5200.160م2 مقام ضمنها هناجر معدنية عدد اثنين متلاصقات بمساحة 2400م2 وكل هنجر مكون من ثلاثة مستودعات والهناجر محاطه بسور من الخرسانه المسلحة وجدران استنادية وغرفة حارس بمساحة 20م2 وساحات اسفلتيه بمساحة 2650م2  .</t>
  </si>
  <si>
    <t>هناجر عدد 2 مساحتهم الإجمالية 2400 م2 تحتوي على 6 مخازن وغرفة حارس بمساحة 20م2 على قطعة أرض منتظمة الشكل مساحتها الإجمالية 5,200.460 م2 والهناجر محاطه بسور من الخرسانه المسلحة وجدران استنادية  وساحات اسفلتيه بمساحة 210م2  .</t>
  </si>
  <si>
    <t xml:space="preserve">"_x000D_
مساحة الشقة : 113 م2_x000D_
الشقة تقع في الطابق الاول (الشقة طابقية)"_x000D_
</t>
  </si>
  <si>
    <t xml:space="preserve">طابق اول مع سطحه + ساحة سماوية مساحته 72م_x000D_
</t>
  </si>
  <si>
    <t>https://maps.app.goo.gl/n9vrfVBB9wmJDo1h9</t>
  </si>
  <si>
    <t>"مساحة الشقة : 139 م2_x000D_
الشقة في الطابق الثالث"</t>
  </si>
  <si>
    <t>https://maps.app.goo.gl/meVRxSaNbKiyizqX9</t>
  </si>
  <si>
    <t xml:space="preserve">مقام على قطعة الأرض بناء من الطوب والاعمده مؤلف من طابق ارضي بمساحة 208م2 </t>
  </si>
  <si>
    <t xml:space="preserve">قطعة الارض مستطيلة الشكل ومخدومه بشارع البناء من الدكه والطوب ويتكون من طابق ارضي بمساحة 125م2 البناء جيد وتشطيباته جيده </t>
  </si>
  <si>
    <t>https://maps.app.goo.gl/SFgYjmhyJRSYtJH27</t>
  </si>
  <si>
    <t xml:space="preserve">مساحة الأرض: 461.870 م2_x000D_
</t>
  </si>
  <si>
    <t>https://maps.app.goo.gl/uebFuZCtCmPZFAFX8</t>
  </si>
  <si>
    <t>مقام على حد القطعة الجنوبي بناء سكني اعمده وطوب بحال العضم مؤلف من طابق طابق ارضي مساحة 180م2 بحال العظم مسقوف ومقطع بالطوب من الداخل البناء مضى عليه 10 أعوام تقريبا.</t>
  </si>
  <si>
    <t>مساحة الأرض: 828 م2_x000D_
مساحة العقار الاجمالية : 250 م2_x000D_
التنظيم: سكن ج_x000D_
عدد الطوابق : 2 طوابق (تسوية + أرضي)</t>
  </si>
  <si>
    <t>https://maps.app.goo.gl/XmxnDKcjLE7m7iCQ6</t>
  </si>
  <si>
    <t xml:space="preserve">قطعة الارض مقام عليها بناء مكون من دكه الاسمنت والطوب ومطلع درج ومكون من طابق </t>
  </si>
  <si>
    <t>https://maps.app.goo.gl/emcmKEAFCX1w11qE8</t>
  </si>
  <si>
    <t xml:space="preserve">قطعة أرض مساحتها 288م2 مقام على القطعة بناء من الاعمدة والطوب مؤلف من طابقين ارضي وأول بمساحة 150م2 كل طابق والاعمال الخارجية تراس ضمن الجهه الجنوبية مسقوف يحدم البناء بيت درج خارجي_x000D_
</t>
  </si>
  <si>
    <t>"مساحة الأرض: 500 م2_x000D_
مساحة العقار الاجمالية : 335 م2_x000D_
التنظيم: سكن ج_x000D_
عدد الطوابق : 2 طوابق (تسوية + أرضي)"</t>
  </si>
  <si>
    <t>https://maps.app.goo.gl/pTtVtcYQptRE2XRWA</t>
  </si>
  <si>
    <t xml:space="preserve">مساحة 499 م2_x000D_
</t>
  </si>
  <si>
    <t>https://maps.app.goo.gl/tE56ws3842kuVrpd9</t>
  </si>
  <si>
    <t xml:space="preserve">"مساحة الأرض: 784 م2_x000D_
_x000D_
</t>
  </si>
  <si>
    <t>https://maps.app.goo.gl/1o3zMBuKWctgbPRN6</t>
  </si>
  <si>
    <t xml:space="preserve">العقار القائم على قطعة الارض رقم مؤلف من 3طوابق طابق تسوية 65م2 عظم سقف واعمده والطابق الارضي والاول بمساحة 165م2 </t>
  </si>
  <si>
    <t xml:space="preserve">الكرك - اراضي المزار الجنوبي - قرية الطيبة - حوض المشاريق 24 - مساحتها - 1,867.3 م2 لوحة 27 منظمة سكن ب_x000D_
</t>
  </si>
  <si>
    <t>AQ-LND-100542.jpeg</t>
  </si>
  <si>
    <t>https://maps.app.goo.gl/vgSJRETDMvEV6DU9A</t>
  </si>
  <si>
    <t xml:space="preserve">قطعة ارض خاليا من الابنية والانشاءات </t>
  </si>
  <si>
    <t xml:space="preserve">قطعة ارض فارفه </t>
  </si>
  <si>
    <t xml:space="preserve">قطعة ارض مساحتها 231 م2 مقام عليها بناء من الاعمدة والطوب مؤلف من طابق ارضي بمساحة 175م2_x000D_
</t>
  </si>
  <si>
    <t xml:space="preserve">قطعة أرض مساحتها 384م2  مقام عليها بناء ريفي بمساحة 106م2 </t>
  </si>
  <si>
    <t>https://maps.app.goo.gl/qYZVzkQWQxvbkaDu6</t>
  </si>
  <si>
    <t>عقار بمساحة 110م2 مقام على قطعة رقم 381 مساحتها 512م2 حوض الجيش 4 / المرزرعة من اراضي الاغوار الجنوبية مساحة الارض 512م</t>
  </si>
  <si>
    <t>https://maps.app.goo.gl/DSq21ccX4bDdsCMf9</t>
  </si>
  <si>
    <t xml:space="preserve">قطعة ارض مساحتها 630 م2 مقام عليها بناء سكني مكون من طابق ارضي بمساحة 110م2_x000D_
</t>
  </si>
  <si>
    <t>https://maps.app.goo.gl/z5ujayfc7Y7kQ9Jd9</t>
  </si>
  <si>
    <t>منزل مستقل مكون من طابق واحد عبارة عن شقة مساحتها 140 م2</t>
  </si>
  <si>
    <t>https://maps.app.goo.gl/3272Qm8kdYncgKfx6</t>
  </si>
  <si>
    <t>"مساحة الأرض: 312 م2_x000D_
مساحة الأبنية الاجمالية : 1904 م2_x000D_
التنظيم: تجاري طولي ضمن سكن ج_x000D_
عدد الطوابق : 6"</t>
  </si>
  <si>
    <t>https://maps.app.goo.gl/HpwzmeKxKUEVLoYZ7</t>
  </si>
  <si>
    <t xml:space="preserve">مساحة القطعة 836م2 </t>
  </si>
  <si>
    <t>https://maps.app.goo.gl/zRJofH6h7xfat9uX6</t>
  </si>
  <si>
    <t xml:space="preserve">قطعة ارض مساحتها 1485.74م2 مقام عليها بناء من طابق ارضي مساحته 115 _x000D_
</t>
  </si>
  <si>
    <t>https://maps.app.goo.gl/rFUTyaqvDHACyK45A</t>
  </si>
  <si>
    <t xml:space="preserve">"شكل القطعة مستطيل تربتها حمراء تتوفر فيها جميع الخدمات وصالحة للزراعة"_x000D_
</t>
  </si>
  <si>
    <t>https://maps.app.goo.gl/UpXAnNYzm3PvHZLJ6</t>
  </si>
  <si>
    <t>مساحة القطعة 500.240 م 2</t>
  </si>
  <si>
    <t>https://maps.app.goo.gl/dN865BrbXKDGjGUB7</t>
  </si>
  <si>
    <t>مساحة 338 م 2</t>
  </si>
  <si>
    <t>https://maps.app.goo.gl/AfnSgEKkf22T5P819</t>
  </si>
  <si>
    <t xml:space="preserve">مساحة الأرض: 3000 م2_x000D_
مساحة العقار الاجمالية : 400م2_x000D_
التنظيم: سكن ج_x000D_
عدد الطوابق : 2 طوابق (أرضي + اول) </t>
  </si>
  <si>
    <t xml:space="preserve">قطعة ارض مقام عليها بناء مكون من طابق تسوية وطابق اول_x000D_
</t>
  </si>
  <si>
    <t>https://maps.app.goo.gl/k355T1oootKL9wnWA</t>
  </si>
  <si>
    <t>مساحة القطعة 6283.970 م2</t>
  </si>
  <si>
    <t xml:space="preserve">مقام على قطعة الارض طابق تسوية وطابق ارضي بمساحة اجمالية 206م2 </t>
  </si>
  <si>
    <t xml:space="preserve">قطعة ارض خاليا من الشواغل والارض عباره عن سليخ </t>
  </si>
  <si>
    <t>https://maps.app.goo.gl/kc7U7YQmM5T89Xcu7</t>
  </si>
  <si>
    <t xml:space="preserve">ارض مساحتها - 620.74 م2 م_x000D_
</t>
  </si>
  <si>
    <t>AQ-LND-100196.jpeg</t>
  </si>
  <si>
    <t>https://maps.app.goo.gl/dT6kJTV6k5NGPTyG9</t>
  </si>
  <si>
    <t xml:space="preserve"> قطعة الارض خاليا من الابنية والانشاءات </t>
  </si>
  <si>
    <t>https://maps.app.goo.gl/MwwRAxQ13wK14qUJA</t>
  </si>
  <si>
    <t xml:space="preserve">قطعة الارض خاليا من الابنية ومنشئات </t>
  </si>
  <si>
    <t xml:space="preserve"> قطعة ارض خاليا من الابنية والانشاءات</t>
  </si>
  <si>
    <t xml:space="preserve">قطعة ارض سليخ  خاليا من الانشاءات </t>
  </si>
  <si>
    <t>https://maps.app.goo.gl/UkRqktd5M8JZCG5VA</t>
  </si>
  <si>
    <t xml:space="preserve">المفرق - اراضي المفرق - قرية المفرق - حوض المفرق الجنوبي 4 - مساحتها - 1,364.64 م2 القطعة منتظمة الشكل واقعة على شارع و منظمة سكن ج ومخدومة بكافة الخدمات_x000D_
</t>
  </si>
  <si>
    <t>AQ-LND-100458.jpeg</t>
  </si>
  <si>
    <t>https://maps.app.goo.gl/K8zsdyQ4hX6ALtGE9</t>
  </si>
  <si>
    <t xml:space="preserve">قطعة ارض خاليا من الشواغل سليخ </t>
  </si>
  <si>
    <t>https://maps.app.goo.gl/MMsHNeujx3BPVZt17</t>
  </si>
  <si>
    <t xml:space="preserve">قطعة ارض خاليا من الانشاءات ارض سليخ </t>
  </si>
  <si>
    <t>https://maps.app.goo.gl/BBgu1F1fkuk4qHFDA</t>
  </si>
  <si>
    <t>قطعة أرض بمساحة 13032</t>
  </si>
  <si>
    <t>AQ-LND-100210.jpeg</t>
  </si>
  <si>
    <t>https://maps.app.goo.gl/rPrWHnNVBQSMcHEG6</t>
  </si>
  <si>
    <t xml:space="preserve">قطعة ارض مساحتها 902.810 م2 وهي من النوع ملك ضمن حدود بلدية المفرق الكبرى عليها بناء سكني مساحة 133م2 </t>
  </si>
  <si>
    <t>https://maps.app.goo.gl/RFbjktinC4wAW5hL7</t>
  </si>
  <si>
    <t xml:space="preserve">الشقة الشمالية من الطابق الثالث عدا سطحها_x000D_
</t>
  </si>
  <si>
    <t xml:space="preserve">قطعة ارض مساحتها 2571م2 مقام عليها 3 ابنية بمساحة إجمالية 1193 م2 </t>
  </si>
  <si>
    <t>https://maps.app.goo.gl/xE3sXfjyUEiWQcwe9</t>
  </si>
  <si>
    <t xml:space="preserve">قطعة ارض خارج التنظيم مقام ضمنها بناء من الدكة عبارة عن تسوية عظم بمساحة 154م2 وطابق ارضي مشطب بمساحة 310 م2_x000D_
</t>
  </si>
  <si>
    <t>مساحة القطعة 730.650 م 2</t>
  </si>
  <si>
    <t xml:space="preserve">قطعة ارض مقام عليها طابقين ارضي مساحته 240م2 ومكون من شقتين كل شقة بمساحة 120م2  وطابق أول بمساحة 456م2 مكون من شقتين كل شقة 228 م2 _x000D_
</t>
  </si>
  <si>
    <t xml:space="preserve">قطعة ارض مساحتها 650 م2 منتظمة الشكل ومخدومة بشارعين مقام على القطعة الارض بناء  من الاعمده والطوب ويتكون من طابق ارضي بمساحة 300م2 </t>
  </si>
  <si>
    <t>https://maps.app.goo.gl/TVq7WyBgkfJkvZHB6</t>
  </si>
  <si>
    <t xml:space="preserve">ارض مساحتها - 1,904 م2 _x000D_
</t>
  </si>
  <si>
    <t>https://www.true-markets.net/media/360tour/housing-bank/1602/index.html</t>
  </si>
  <si>
    <t>AQ-LND-100276.jpeg</t>
  </si>
  <si>
    <t>https://maps.app.goo.gl/KaBoiGDnFFndWYHSA</t>
  </si>
  <si>
    <t xml:space="preserve">ارض مساحتها - 10,081 م2 _x000D_
</t>
  </si>
  <si>
    <t>https://www.true-markets.net/media/360tour/housing-bank/114/index.html</t>
  </si>
  <si>
    <t>AQ-LND-100272.jpeg</t>
  </si>
  <si>
    <t>https://maps.app.goo.gl/LRSDBw7P2UpUAr2UA</t>
  </si>
  <si>
    <t xml:space="preserve">طابق التسوية عدا سطحه البناية الشمالية </t>
  </si>
  <si>
    <t xml:space="preserve">قطعة ارض مقام عليها بناء مكون من اربع طوابق تسوية وارضي وأول وثاني_x000D_
</t>
  </si>
  <si>
    <t>https://maps.app.goo.gl/7HoWuNweyFZqUTVC8</t>
  </si>
  <si>
    <t>قطعة ارض مساحة 5945.910 م 2</t>
  </si>
  <si>
    <t>https://maps.app.goo.gl/pYfd6JHCkMS6CqcM9</t>
  </si>
  <si>
    <t>https://maps.app.goo.gl/GMiasNieJjGjXAxcA</t>
  </si>
  <si>
    <t>الشقة الشرقية من الطابق الثاني عدا سطحها وتبلغ مساحتها 158م2 .</t>
  </si>
  <si>
    <t>الشقة الشرقية من الطابق الثالث عدا سطحها</t>
  </si>
  <si>
    <t>https://maps.app.goo.gl/WkaV4oQ8B8teN9ky7</t>
  </si>
  <si>
    <t xml:space="preserve">الشقة رقم 111/ 322 حوض الكفير الغربي 1 قرية الفيصيلة من اراضي مادبا </t>
  </si>
  <si>
    <t>https://maps.app.goo.gl/uSTNjhBtgKMBkfmf8</t>
  </si>
  <si>
    <t xml:space="preserve">مساحة 855 م2_x000D_
</t>
  </si>
  <si>
    <t>https://maps.app.goo.gl/zwdKSeXXDy4wGL3fA</t>
  </si>
  <si>
    <t>قطعة ارض خالية من الابنية والانشاءات مساحتها - 771 م2 تنظيم سكن ج</t>
  </si>
  <si>
    <t>AQ-LND-100584.jpeg</t>
  </si>
  <si>
    <t>https://maps.app.goo.gl/kNG5M5KvurE2uci67</t>
  </si>
  <si>
    <t xml:space="preserve">"مساحة قطعة الأرض: 8,234 م2_x000D_
</t>
  </si>
  <si>
    <t>AQ-LND-100183.jpeg</t>
  </si>
  <si>
    <t>https://maps.app.goo.gl/CZYgBKwrHnVzw5zSA</t>
  </si>
  <si>
    <t>"مساحة الأرض: 67,551 م2_x000D_
مساحة البناء الاجمالية : 405 م2_x000D_
التنظيم: زراعي خارج التنظيم_x000D_
عدد الطوابق: 2 طوابق ( ارضي + اول)</t>
  </si>
  <si>
    <t>AQ-LND-100587.jpeg</t>
  </si>
  <si>
    <t>https://maps.app.goo.gl/xi3VCsRSXeZzB3a26</t>
  </si>
  <si>
    <t xml:space="preserve">مساحة الأرض: 799.35 م2_x000D_
مساحة البناء الاجمالية : 165 م2_x000D_
التنظيم: سكن شعبي متصل _x000D_
بناء سكن شعبي مكون من طابق واحد مساحته 165 م2 </t>
  </si>
  <si>
    <t>https://maps.app.goo.gl/53XE135Wgb8fsd6x9</t>
  </si>
  <si>
    <t>مساحة 616.630</t>
  </si>
  <si>
    <t>https://maps.app.goo.gl/i67PPSE8r7qeyVqU6</t>
  </si>
  <si>
    <t>عدد 60 حصة من اصل 720 حصة من قطعة ارض من نوع ميري مساحتها الاجمالية 3920 م2 وهي خارج التنظيم</t>
  </si>
  <si>
    <t>AQ-LND-100658.jpeg</t>
  </si>
  <si>
    <t>https://maps.app.goo.gl/7bvp2wEWFm1ad4B98</t>
  </si>
  <si>
    <t>هذا الكشف يتضمن عقارات بنك الإسكان كما هي بتاريخ</t>
  </si>
  <si>
    <t xml:space="preserve"> وللاطلاع على عقارات بنك الإسكان محدثة أولا بأول يرجى زيارة موقع البنك الالكتروني </t>
  </si>
  <si>
    <t>https://hbtf.com/ar/new-realestate</t>
  </si>
  <si>
    <t>9/17/2026 03:15:26 PM</t>
  </si>
  <si>
    <t xml:space="preserve">مخزن طابق ارضي في محافظة اربد منطقة شارع الهاشمي التنظيم تجاري معارض بمساحة 45 م2
</t>
  </si>
  <si>
    <t xml:space="preserve">مخزن طابق تسوية في محافظة اربد منطقة شارع الهاشمي التنظيم تجاري معارض بمساحة 28 م2
</t>
  </si>
  <si>
    <t>تقديم طلب</t>
  </si>
  <si>
    <t>https://hbtf.com/ar/new-realestate/AQ-RE-101111</t>
  </si>
  <si>
    <t>https://hbtf.com/ar/new-realestate/AQ-RE-101104</t>
  </si>
  <si>
    <t>https://hbtf.com/ar/new-realestate/AQ-RE-101100</t>
  </si>
  <si>
    <t>https://hbtf.com/ar/new-realestate/AQ-RE-101099</t>
  </si>
  <si>
    <t>https://hbtf.com/ar/new-realestate/AQ-RE-101098</t>
  </si>
  <si>
    <t>https://hbtf.com/ar/new-realestate/AQ-RE-101101</t>
  </si>
  <si>
    <t>https://hbtf.com/ar/new-realestate/AQ-RE-101110</t>
  </si>
  <si>
    <t>https://hbtf.com/ar/new-realestate/AQ-RE-101103</t>
  </si>
  <si>
    <t>https://hbtf.com/ar/new-realestate/AQ-RE-100403</t>
  </si>
  <si>
    <t>https://hbtf.com/ar/new-realestate/AQ-RE-101241</t>
  </si>
  <si>
    <t>https://hbtf.com/ar/new-realestate/AQ-RE-100859</t>
  </si>
  <si>
    <t>https://hbtf.com/ar/new-realestate/AQ-RE-100001</t>
  </si>
  <si>
    <t>https://hbtf.com/ar/new-realestate/AQ-RE-100848</t>
  </si>
  <si>
    <t>https://hbtf.com/ar/new-realestate/AQ-RE-100661</t>
  </si>
  <si>
    <t>https://hbtf.com/ar/new-realestate/AQ-RE-100295</t>
  </si>
  <si>
    <t>https://hbtf.com/ar/new-realestate/AQ-RE-101140</t>
  </si>
  <si>
    <t>https://hbtf.com/ar/new-realestate/AQ-RE-100341</t>
  </si>
  <si>
    <t>https://hbtf.com/ar/new-realestate/AQ-RE-101171</t>
  </si>
  <si>
    <t>https://hbtf.com/ar/new-realestate/AQ-RE-100803</t>
  </si>
  <si>
    <t>https://hbtf.com/ar/new-realestate/AQ-RE-100015</t>
  </si>
  <si>
    <t>https://hbtf.com/ar/new-realestate/AQ-RE-100296</t>
  </si>
  <si>
    <t>https://hbtf.com/ar/new-realestate/AQ-RE-101152</t>
  </si>
  <si>
    <t>https://hbtf.com/ar/new-realestate/AQ-RE-100032</t>
  </si>
  <si>
    <t>https://hbtf.com/ar/new-realestate/AQ-RE-100306</t>
  </si>
  <si>
    <t>https://hbtf.com/ar/new-realestate/AQ-RE-101125</t>
  </si>
  <si>
    <t>https://hbtf.com/ar/new-realestate/AQ-RE-101221</t>
  </si>
  <si>
    <t>https://hbtf.com/ar/new-realestate/AQ-RE-100220</t>
  </si>
  <si>
    <t>https://hbtf.com/ar/new-realestate/AQ-RE-101165</t>
  </si>
  <si>
    <t>https://hbtf.com/ar/new-realestate/AQ-RE-100457</t>
  </si>
  <si>
    <t>https://hbtf.com/ar/new-realestate/AQ-RE-100313</t>
  </si>
  <si>
    <t>https://hbtf.com/ar/new-realestate/AQ-RE-100365</t>
  </si>
  <si>
    <t>https://hbtf.com/ar/new-realestate/AQ-RE-100107</t>
  </si>
  <si>
    <t>https://hbtf.com/ar/new-realestate/AQ-RE-101120</t>
  </si>
  <si>
    <t>https://hbtf.com/ar/new-realestate/AQ-RE-100979</t>
  </si>
  <si>
    <t>https://hbtf.com/ar/new-realestate/AQ-RE-100669</t>
  </si>
  <si>
    <t>https://hbtf.com/ar/new-realestate/AQ-RE-100479</t>
  </si>
  <si>
    <t>https://hbtf.com/ar/new-realestate/AQ-RE-100978</t>
  </si>
  <si>
    <t>https://hbtf.com/ar/new-realestate/AQ-RE-100069</t>
  </si>
  <si>
    <t>https://hbtf.com/ar/new-realestate/AQ-RE-100002</t>
  </si>
  <si>
    <t>https://hbtf.com/ar/new-realestate/AQ-RE-100864</t>
  </si>
  <si>
    <t>https://hbtf.com/ar/new-realestate/AQ-RE-100795</t>
  </si>
  <si>
    <t>https://hbtf.com/ar/new-realestate/AQ-RE-100915</t>
  </si>
  <si>
    <t>https://hbtf.com/ar/new-realestate/AQ-RE-100862</t>
  </si>
  <si>
    <t>https://hbtf.com/ar/new-realestate/AQ-RE-100743</t>
  </si>
  <si>
    <t>https://hbtf.com/ar/new-realestate/AQ-RE-100062</t>
  </si>
  <si>
    <t>https://hbtf.com/ar/new-realestate/AQ-RE-100091</t>
  </si>
  <si>
    <t>https://hbtf.com/ar/new-realestate/AQ-RE-100863</t>
  </si>
  <si>
    <t>https://hbtf.com/ar/new-realestate/AQ-RE-100399</t>
  </si>
  <si>
    <t>https://hbtf.com/ar/new-realestate/AQ-RE-100984</t>
  </si>
  <si>
    <t>https://hbtf.com/ar/new-realestate/AQ-RE-100522</t>
  </si>
  <si>
    <t>https://hbtf.com/ar/new-realestate/AQ-RE-100865</t>
  </si>
  <si>
    <t>https://hbtf.com/ar/new-realestate/AQ-RE-101180</t>
  </si>
  <si>
    <t>https://hbtf.com/ar/new-realestate/AQ-RE-100380</t>
  </si>
  <si>
    <t>https://hbtf.com/ar/new-realestate/AQ-RE-100668</t>
  </si>
  <si>
    <t>https://hbtf.com/ar/new-realestate/AQ-RE-100977</t>
  </si>
  <si>
    <t>https://hbtf.com/ar/new-realestate/AQ-RE-100464</t>
  </si>
  <si>
    <t>https://hbtf.com/ar/new-realestate/AQ-BLD-100349</t>
  </si>
  <si>
    <t>https://hbtf.com/ar/new-realestate/AQ-BLD-100639</t>
  </si>
  <si>
    <t>https://hbtf.com/ar/new-realestate/AQ-BLD-100256</t>
  </si>
  <si>
    <t>https://hbtf.com/ar/new-realestate/AQ-BLD-100775</t>
  </si>
  <si>
    <t>https://hbtf.com/ar/new-realestate/AQ-BLD-100175</t>
  </si>
  <si>
    <t>https://hbtf.com/ar/new-realestate/AQ-BLD-101228</t>
  </si>
  <si>
    <t>https://hbtf.com/ar/new-realestate/AQ-BLD-101033</t>
  </si>
  <si>
    <t>https://hbtf.com/ar/new-realestate/AQ-BLD-100748</t>
  </si>
  <si>
    <t>https://hbtf.com/ar/new-realestate/AQ-BLD-101211</t>
  </si>
  <si>
    <t>https://hbtf.com/ar/new-realestate/AQ-BLD-100767</t>
  </si>
  <si>
    <t>https://hbtf.com/ar/new-realestate/AQ-BLD-100376</t>
  </si>
  <si>
    <t>https://hbtf.com/ar/new-realestate/AQ-BLD-100337</t>
  </si>
  <si>
    <t>https://hbtf.com/ar/new-realestate/AQ-BLD-100339</t>
  </si>
  <si>
    <t>https://hbtf.com/ar/new-realestate/AQ-BLD-100592</t>
  </si>
  <si>
    <t>https://hbtf.com/ar/new-realestate/AQ-BLD-100722</t>
  </si>
  <si>
    <t>https://hbtf.com/ar/new-realestate/AQ-BLD-100885</t>
  </si>
  <si>
    <t>https://hbtf.com/ar/new-realestate/AQ-BLD-100533</t>
  </si>
  <si>
    <t>https://hbtf.com/ar/new-realestate/AQ-BLD-100338</t>
  </si>
  <si>
    <t>https://hbtf.com/ar/new-realestate/AQ-BLD-100165</t>
  </si>
  <si>
    <t>https://hbtf.com/ar/new-realestate/AQ-BLD-101159</t>
  </si>
  <si>
    <t>https://hbtf.com/ar/new-realestate/AQ-BLD-100714</t>
  </si>
  <si>
    <t>https://hbtf.com/ar/new-realestate/AQ-BLD-100334</t>
  </si>
  <si>
    <t>https://hbtf.com/ar/new-realestate/AQ-BLD-100805</t>
  </si>
  <si>
    <t>https://hbtf.com/ar/new-realestate/AQ-BLD-100631</t>
  </si>
  <si>
    <t>https://hbtf.com/ar/new-realestate/AQ-BLD-100715</t>
  </si>
  <si>
    <t>https://hbtf.com/ar/new-realestate/AQ-BLD-100883</t>
  </si>
  <si>
    <t>https://hbtf.com/ar/new-realestate/AQ-BLD-100773</t>
  </si>
  <si>
    <t>https://hbtf.com/ar/new-realestate/AQ-BLD-100336</t>
  </si>
  <si>
    <t>https://hbtf.com/ar/new-realestate/AQ-BLD-100317</t>
  </si>
  <si>
    <t>https://hbtf.com/ar/new-realestate/AQ-BLD-100142</t>
  </si>
  <si>
    <t>https://hbtf.com/ar/new-realestate/AQ-BLD-101186</t>
  </si>
  <si>
    <t>https://hbtf.com/ar/new-realestate/AQ-BLD-100151</t>
  </si>
  <si>
    <t>https://hbtf.com/ar/new-realestate/AQ-LND-100225</t>
  </si>
  <si>
    <t>https://hbtf.com/ar/new-realestate/AQ-LND-100227</t>
  </si>
  <si>
    <t>https://hbtf.com/ar/new-realestate/AQ-LND-100377</t>
  </si>
  <si>
    <t>https://hbtf.com/ar/new-realestate/AQ-LND-101112</t>
  </si>
  <si>
    <t>https://hbtf.com/ar/new-realestate/AQ-LND-101061</t>
  </si>
  <si>
    <t>https://hbtf.com/ar/new-realestate/AQ-LND-100246</t>
  </si>
  <si>
    <t>https://hbtf.com/ar/new-realestate/AQ-LND-100245</t>
  </si>
  <si>
    <t>https://hbtf.com/ar/new-realestate/AQ-LND-100109</t>
  </si>
  <si>
    <t>https://hbtf.com/ar/new-realestate/AQ-BLD-100143</t>
  </si>
  <si>
    <t>https://hbtf.com/ar/new-realestate/AQ-BLD-100268</t>
  </si>
  <si>
    <t>https://hbtf.com/ar/new-realestate/AQ-BLD-100466</t>
  </si>
  <si>
    <t>https://hbtf.com/ar/new-realestate/AQ-RE-100347</t>
  </si>
  <si>
    <t>https://hbtf.com/ar/new-realestate/AQ-RE-100012</t>
  </si>
  <si>
    <t>https://hbtf.com/ar/new-realestate/AQ-RE-100105</t>
  </si>
  <si>
    <t>https://hbtf.com/ar/new-realestate/AQ-RE-100572</t>
  </si>
  <si>
    <t>https://hbtf.com/ar/new-realestate/AQ-RE-100698</t>
  </si>
  <si>
    <t>https://hbtf.com/ar/new-realestate/AQ-RE-100660</t>
  </si>
  <si>
    <t>https://hbtf.com/ar/new-realestate/AQ-RE-100655</t>
  </si>
  <si>
    <t>https://hbtf.com/ar/new-realestate/AQ-BLD-100153</t>
  </si>
  <si>
    <t>https://hbtf.com/ar/new-realestate/AQ-BLD-100913</t>
  </si>
  <si>
    <t>https://hbtf.com/ar/new-realestate/AQ-BLD-100846</t>
  </si>
  <si>
    <t>https://hbtf.com/ar/new-realestate/AQ-BLD-100954</t>
  </si>
  <si>
    <t>https://hbtf.com/ar/new-realestate/AQ-BLD-101242</t>
  </si>
  <si>
    <t>https://hbtf.com/ar/new-realestate/AQ-BLD-100152</t>
  </si>
  <si>
    <t>https://hbtf.com/ar/new-realestate/AQ-BLD-100329</t>
  </si>
  <si>
    <t>https://hbtf.com/ar/new-realestate/AQ-BLD-100488</t>
  </si>
  <si>
    <t>https://hbtf.com/ar/new-realestate/AQ-BLD-100291</t>
  </si>
  <si>
    <t>https://hbtf.com/ar/new-realestate/OS-BLD-101440</t>
  </si>
  <si>
    <t>https://hbtf.com/ar/new-realestate/AQ-LND-100453</t>
  </si>
  <si>
    <t>https://hbtf.com/ar/new-realestate/AQ-LND-100199</t>
  </si>
  <si>
    <t>https://hbtf.com/ar/new-realestate/AQ-LND-100494</t>
  </si>
  <si>
    <t>https://hbtf.com/ar/new-realestate/AQ-LND-100134</t>
  </si>
  <si>
    <t>https://hbtf.com/ar/new-realestate/AQ-LND-100205</t>
  </si>
  <si>
    <t>https://hbtf.com/ar/new-realestate/AQ-LND-100203</t>
  </si>
  <si>
    <t>https://hbtf.com/ar/new-realestate/AQ-LND-100206</t>
  </si>
  <si>
    <t>https://hbtf.com/ar/new-realestate/AQ-RE-101160</t>
  </si>
  <si>
    <t>https://hbtf.com/ar/new-realestate/AQ-RE-101137</t>
  </si>
  <si>
    <t>https://hbtf.com/ar/new-realestate/AQ-RE-101138</t>
  </si>
  <si>
    <t>https://hbtf.com/ar/new-realestate/AQ-RE-100958</t>
  </si>
  <si>
    <t>https://hbtf.com/ar/new-realestate/AQ-RE-101181</t>
  </si>
  <si>
    <t>https://hbtf.com/ar/new-realestate/AQ-RE-101172</t>
  </si>
  <si>
    <t>https://hbtf.com/ar/new-realestate/AQ-RE-100918</t>
  </si>
  <si>
    <t>https://hbtf.com/ar/new-realestate/AQ-RE-101179</t>
  </si>
  <si>
    <t>https://hbtf.com/ar/new-realestate/AQ-RE-100665</t>
  </si>
  <si>
    <t>https://hbtf.com/ar/new-realestate/AQ-RE-100277</t>
  </si>
  <si>
    <t>https://hbtf.com/ar/new-realestate/AQ-RE-100957</t>
  </si>
  <si>
    <t>https://hbtf.com/ar/new-realestate/AQ-RE-101173</t>
  </si>
  <si>
    <t>https://hbtf.com/ar/new-realestate/AQ-RE-100570</t>
  </si>
  <si>
    <t>https://hbtf.com/ar/new-realestate/AQ-RE-100351</t>
  </si>
  <si>
    <t>https://hbtf.com/ar/new-realestate/AQ-RE-100333</t>
  </si>
  <si>
    <t>https://hbtf.com/ar/new-realestate/AQ-RE-100135</t>
  </si>
  <si>
    <t>https://hbtf.com/ar/new-realestate/AQ-RE-100575</t>
  </si>
  <si>
    <t>https://hbtf.com/ar/new-realestate/AQ-RE-100914</t>
  </si>
  <si>
    <t>https://hbtf.com/ar/new-realestate/AQ-RE-100847</t>
  </si>
  <si>
    <t>https://hbtf.com/ar/new-realestate/AQ-RE-100515</t>
  </si>
  <si>
    <t>https://hbtf.com/ar/new-realestate/AQ-RE-100579</t>
  </si>
  <si>
    <t>https://hbtf.com/ar/new-realestate/AQ-RE-100469</t>
  </si>
  <si>
    <t>https://hbtf.com/ar/new-realestate/AQ-RE-101055</t>
  </si>
  <si>
    <t>https://hbtf.com/ar/new-realestate/AQ-RE-101151</t>
  </si>
  <si>
    <t>https://hbtf.com/ar/new-realestate/AQ-RE-100509</t>
  </si>
  <si>
    <t>https://hbtf.com/ar/new-realestate/AQ-RE-100630</t>
  </si>
  <si>
    <t>https://hbtf.com/ar/new-realestate/AQ-RE-101189</t>
  </si>
  <si>
    <t>https://hbtf.com/ar/new-realestate/AQ-RE-100177</t>
  </si>
  <si>
    <t>https://hbtf.com/ar/new-realestate/AQ-RE-100540</t>
  </si>
  <si>
    <t>https://hbtf.com/ar/new-realestate/AQ-RE-101054</t>
  </si>
  <si>
    <t>https://hbtf.com/ar/new-realestate/AQ-RE-100110</t>
  </si>
  <si>
    <t>https://hbtf.com/ar/new-realestate/AQ-RE-100629</t>
  </si>
  <si>
    <t>https://hbtf.com/ar/new-realestate/AQ-RE-100663</t>
  </si>
  <si>
    <t>https://hbtf.com/ar/new-realestate/AQ-BLD-100916</t>
  </si>
  <si>
    <t>https://hbtf.com/ar/new-realestate/AQ-BLD-101233</t>
  </si>
  <si>
    <t>https://hbtf.com/ar/new-realestate/AQ-BLD-100144</t>
  </si>
  <si>
    <t>https://hbtf.com/ar/new-realestate/AQ-BLD-100046</t>
  </si>
  <si>
    <t>https://hbtf.com/ar/new-realestate/AQ-BLD-100236</t>
  </si>
  <si>
    <t>https://hbtf.com/ar/new-realestate/AQ-BLD-100420</t>
  </si>
  <si>
    <t>https://hbtf.com/ar/new-realestate/AQ-BLD-100912</t>
  </si>
  <si>
    <t>https://hbtf.com/ar/new-realestate/AQ-BLD-100204</t>
  </si>
  <si>
    <t>https://hbtf.com/ar/new-realestate/AQ-BLD-100279</t>
  </si>
  <si>
    <t>https://hbtf.com/ar/new-realestate/AQ-BLD-100526</t>
  </si>
  <si>
    <t>https://hbtf.com/ar/new-realestate/AQ-BLD-100096</t>
  </si>
  <si>
    <t>https://hbtf.com/ar/new-realestate/AQ-BLD-100820</t>
  </si>
  <si>
    <t>https://hbtf.com/ar/new-realestate/AQ-BLD-100880</t>
  </si>
  <si>
    <t>https://hbtf.com/ar/new-realestate/AQ-BLD-100577</t>
  </si>
  <si>
    <t>https://hbtf.com/ar/new-realestate/AQ-BLD-100986</t>
  </si>
  <si>
    <t>https://hbtf.com/ar/new-realestate/AQ-BLD-100641</t>
  </si>
  <si>
    <t>https://hbtf.com/ar/new-realestate/AQ-BLD-100960</t>
  </si>
  <si>
    <t>https://hbtf.com/ar/new-realestate/AQ-BLD-100195</t>
  </si>
  <si>
    <t>https://hbtf.com/ar/new-realestate/AQ-BLD-101194</t>
  </si>
  <si>
    <t>https://hbtf.com/ar/new-realestate/AQ-BLD-101193</t>
  </si>
  <si>
    <t>https://hbtf.com/ar/new-realestate/AQ-BLD-100158</t>
  </si>
  <si>
    <t>https://hbtf.com/ar/new-realestate/AQ-BLD-100119</t>
  </si>
  <si>
    <t>https://hbtf.com/ar/new-realestate/OS-BLD-101464</t>
  </si>
  <si>
    <t>https://hbtf.com/ar/new-realestate/AQ-LND-100159</t>
  </si>
  <si>
    <t>https://hbtf.com/ar/new-realestate/AQ-LND-100547</t>
  </si>
  <si>
    <t>https://hbtf.com/ar/new-realestate/AQ-LND-101218</t>
  </si>
  <si>
    <t>https://hbtf.com/ar/new-realestate/AQ-LND-100956</t>
  </si>
  <si>
    <t>https://hbtf.com/ar/new-realestate/AQ-LND-100074</t>
  </si>
  <si>
    <t>https://hbtf.com/ar/new-realestate/AQ-LND-100290</t>
  </si>
  <si>
    <t>https://hbtf.com/ar/new-realestate/AQ-LND-100287</t>
  </si>
  <si>
    <t>https://hbtf.com/ar/new-realestate/AQ-LND-100283</t>
  </si>
  <si>
    <t>https://hbtf.com/ar/new-realestate/AQ-LND-100140</t>
  </si>
  <si>
    <t>https://hbtf.com/ar/new-realestate/AQ-BLD-100518</t>
  </si>
  <si>
    <t>https://hbtf.com/ar/new-realestate/AQ-RE-100310</t>
  </si>
  <si>
    <t>https://hbtf.com/ar/new-realestate/AQ-RE-100311</t>
  </si>
  <si>
    <t>https://hbtf.com/ar/new-realestate/AQ-RE-100305</t>
  </si>
  <si>
    <t>https://hbtf.com/ar/new-realestate/AQ-RE-100823</t>
  </si>
  <si>
    <t>https://hbtf.com/ar/new-realestate/AQ-RE-100304</t>
  </si>
  <si>
    <t>https://hbtf.com/ar/new-realestate/AQ-BLD-101046</t>
  </si>
  <si>
    <t>https://hbtf.com/ar/new-realestate/AQ-BLD-100319</t>
  </si>
  <si>
    <t>https://hbtf.com/ar/new-realestate/AQ-BLD-100995</t>
  </si>
  <si>
    <t>https://hbtf.com/ar/new-realestate/AQ-BLD-100866</t>
  </si>
  <si>
    <t>https://hbtf.com/ar/new-realestate/AQ-BLD-100725</t>
  </si>
  <si>
    <t>https://hbtf.com/ar/new-realestate/AQ-LND-100467</t>
  </si>
  <si>
    <t>https://hbtf.com/ar/new-realestate/AQ-LND-100221</t>
  </si>
  <si>
    <t>https://hbtf.com/ar/new-realestate/AQ-LND-100382</t>
  </si>
  <si>
    <t>https://hbtf.com/ar/new-realestate/AQ-LND-100462</t>
  </si>
  <si>
    <t>https://hbtf.com/ar/new-realestate/AQ-LND-100191</t>
  </si>
  <si>
    <t>https://hbtf.com/ar/new-realestate/AQ-LND-100459</t>
  </si>
  <si>
    <t>https://hbtf.com/ar/new-realestate/AQ-LND-100953</t>
  </si>
  <si>
    <t>https://hbtf.com/ar/new-realestate/AQ-LND-100450</t>
  </si>
  <si>
    <t>https://hbtf.com/ar/new-realestate/AQ-RE-100779</t>
  </si>
  <si>
    <t>https://hbtf.com/ar/new-realestate/AQ-RE-100780</t>
  </si>
  <si>
    <t>https://hbtf.com/ar/new-realestate/AQ-RE-100784</t>
  </si>
  <si>
    <t>https://hbtf.com/ar/new-realestate/AQ-RE-100783</t>
  </si>
  <si>
    <t>https://hbtf.com/ar/new-realestate/AQ-RE-100776</t>
  </si>
  <si>
    <t>https://hbtf.com/ar/new-realestate/AQ-RE-100778</t>
  </si>
  <si>
    <t>https://hbtf.com/ar/new-realestate/AQ-RE-100786</t>
  </si>
  <si>
    <t>https://hbtf.com/ar/new-realestate/AQ-RE-100777</t>
  </si>
  <si>
    <t>https://hbtf.com/ar/new-realestate/AQ-RE-100785</t>
  </si>
  <si>
    <t>https://hbtf.com/ar/new-realestate/AQ-RE-100781</t>
  </si>
  <si>
    <t>https://hbtf.com/ar/new-realestate/AQ-RE-100782</t>
  </si>
  <si>
    <t>https://hbtf.com/ar/new-realestate/AQ-RE-100214</t>
  </si>
  <si>
    <t>https://hbtf.com/ar/new-realestate/AQ-RE-100385</t>
  </si>
  <si>
    <t>https://hbtf.com/ar/new-realestate/AQ-RE-101235</t>
  </si>
  <si>
    <t>https://hbtf.com/ar/new-realestate/AQ-RE-101058</t>
  </si>
  <si>
    <t>https://hbtf.com/ar/new-realestate/AQ-RE-101008</t>
  </si>
  <si>
    <t>https://hbtf.com/ar/new-realestate/AQ-RE-100257</t>
  </si>
  <si>
    <t>https://hbtf.com/ar/new-realestate/AQ-RE-100404</t>
  </si>
  <si>
    <t>https://hbtf.com/ar/new-realestate/AQ-RE-100028</t>
  </si>
  <si>
    <t>https://hbtf.com/ar/new-realestate/AQ-RE-101197</t>
  </si>
  <si>
    <t>https://hbtf.com/ar/new-realestate/AQ-RE-100565</t>
  </si>
  <si>
    <t>https://hbtf.com/ar/new-realestate/AQ-RE-101139</t>
  </si>
  <si>
    <t>https://hbtf.com/ar/new-realestate/AQ-RE-101001</t>
  </si>
  <si>
    <t>https://hbtf.com/ar/new-realestate/AQ-RE-100499</t>
  </si>
  <si>
    <t>https://hbtf.com/ar/new-realestate/AQ-RE-100521</t>
  </si>
  <si>
    <t>https://hbtf.com/ar/new-realestate/AQ-RE-100113</t>
  </si>
  <si>
    <t>https://hbtf.com/ar/new-realestate/AQ-RE-100326</t>
  </si>
  <si>
    <t>https://hbtf.com/ar/new-realestate/AQ-RE-101095</t>
  </si>
  <si>
    <t>https://hbtf.com/ar/new-realestate/AQ-RE-100886</t>
  </si>
  <si>
    <t>https://hbtf.com/ar/new-realestate/AQ-RE-100749</t>
  </si>
  <si>
    <t>https://hbtf.com/ar/new-realestate/AQ-RE-100921</t>
  </si>
  <si>
    <t>https://hbtf.com/ar/new-realestate/AQ-RE-101078</t>
  </si>
  <si>
    <t>https://hbtf.com/ar/new-realestate/AQ-RE-100870</t>
  </si>
  <si>
    <t>https://hbtf.com/ar/new-realestate/AQ-RE-100635</t>
  </si>
  <si>
    <t>https://hbtf.com/ar/new-realestate/AQ-RE-100869</t>
  </si>
  <si>
    <t>https://hbtf.com/ar/new-realestate/AQ-RE-101225</t>
  </si>
  <si>
    <t>https://hbtf.com/ar/new-realestate/AQ-RE-100825</t>
  </si>
  <si>
    <t>https://hbtf.com/ar/new-realestate/AQ-RE-100632</t>
  </si>
  <si>
    <t>https://hbtf.com/ar/new-realestate/AQ-RE-101182</t>
  </si>
  <si>
    <t>https://hbtf.com/ar/new-realestate/AQ-RE-101232</t>
  </si>
  <si>
    <t>https://hbtf.com/ar/new-realestate/AQ-RE-100826</t>
  </si>
  <si>
    <t>https://hbtf.com/ar/new-realestate/AQ-RE-100828</t>
  </si>
  <si>
    <t>https://hbtf.com/ar/new-realestate/AQ-RE-100115</t>
  </si>
  <si>
    <t>https://hbtf.com/ar/new-realestate/AQ-RE-100868</t>
  </si>
  <si>
    <t>https://hbtf.com/ar/new-realestate/AQ-RE-100123</t>
  </si>
  <si>
    <t>https://hbtf.com/ar/new-realestate/AQ-RE-101047</t>
  </si>
  <si>
    <t>https://hbtf.com/ar/new-realestate/AQ-RE-100634</t>
  </si>
  <si>
    <t>https://hbtf.com/ar/new-realestate/AQ-RE-101146</t>
  </si>
  <si>
    <t>https://hbtf.com/ar/new-realestate/AQ-RE-100039</t>
  </si>
  <si>
    <t>https://hbtf.com/ar/new-realestate/AQ-RE-101122</t>
  </si>
  <si>
    <t>https://hbtf.com/ar/new-realestate/AQ-RE-100549</t>
  </si>
  <si>
    <t>https://hbtf.com/ar/new-realestate/AQ-RE-100830</t>
  </si>
  <si>
    <t>https://hbtf.com/ar/new-realestate/AQ-RE-100122</t>
  </si>
  <si>
    <t>https://hbtf.com/ar/new-realestate/AQ-RE-101053</t>
  </si>
  <si>
    <t>https://hbtf.com/ar/new-realestate/AQ-RE-101048</t>
  </si>
  <si>
    <t>https://hbtf.com/ar/new-realestate/AQ-RE-100182</t>
  </si>
  <si>
    <t>https://hbtf.com/ar/new-realestate/AQ-RE-101083</t>
  </si>
  <si>
    <t>https://hbtf.com/ar/new-realestate/AQ-RE-100811</t>
  </si>
  <si>
    <t>https://hbtf.com/ar/new-realestate/AQ-RE-101049</t>
  </si>
  <si>
    <t>https://hbtf.com/ar/new-realestate/AQ-RE-101134</t>
  </si>
  <si>
    <t>https://hbtf.com/ar/new-realestate/AQ-RE-100832</t>
  </si>
  <si>
    <t>https://hbtf.com/ar/new-realestate/AQ-RE-100673</t>
  </si>
  <si>
    <t>https://hbtf.com/ar/new-realestate/AQ-RE-101050</t>
  </si>
  <si>
    <t>https://hbtf.com/ar/new-realestate/AQ-RE-100492</t>
  </si>
  <si>
    <t>https://hbtf.com/ar/new-realestate/AQ-RE-100169</t>
  </si>
  <si>
    <t>https://hbtf.com/ar/new-realestate/AQ-RE-100516</t>
  </si>
  <si>
    <t>https://hbtf.com/ar/new-realestate/AQ-RE-101024</t>
  </si>
  <si>
    <t>https://hbtf.com/ar/new-realestate/AQ-RE-101130</t>
  </si>
  <si>
    <t>https://hbtf.com/ar/new-realestate/AQ-RE-100675</t>
  </si>
  <si>
    <t>https://hbtf.com/ar/new-realestate/AQ-RE-100014</t>
  </si>
  <si>
    <t>https://hbtf.com/ar/new-realestate/AQ-RE-100711</t>
  </si>
  <si>
    <t>https://hbtf.com/ar/new-realestate/AQ-RE-100550</t>
  </si>
  <si>
    <t>https://hbtf.com/ar/new-realestate/AQ-RE-100541</t>
  </si>
  <si>
    <t>https://hbtf.com/ar/new-realestate/AQ-RE-100824</t>
  </si>
  <si>
    <t>https://hbtf.com/ar/new-realestate/AQ-RE-100829</t>
  </si>
  <si>
    <t>https://hbtf.com/ar/new-realestate/AQ-RE-101114</t>
  </si>
  <si>
    <t>https://hbtf.com/ar/new-realestate/AQ-RE-100157</t>
  </si>
  <si>
    <t>https://hbtf.com/ar/new-realestate/AQ-RE-100146</t>
  </si>
  <si>
    <t>https://hbtf.com/ar/new-realestate/AQ-RE-100130</t>
  </si>
  <si>
    <t>https://hbtf.com/ar/new-realestate/AQ-RE-100027</t>
  </si>
  <si>
    <t>https://hbtf.com/ar/new-realestate/AQ-RE-100478</t>
  </si>
  <si>
    <t>https://hbtf.com/ar/new-realestate/AQ-RE-100841</t>
  </si>
  <si>
    <t>https://hbtf.com/ar/new-realestate/AQ-RE-100535</t>
  </si>
  <si>
    <t>https://hbtf.com/ar/new-realestate/AQ-RE-100831</t>
  </si>
  <si>
    <t>https://hbtf.com/ar/new-realestate/AQ-RE-100833</t>
  </si>
  <si>
    <t>https://hbtf.com/ar/new-realestate/AQ-RE-101124</t>
  </si>
  <si>
    <t>https://hbtf.com/ar/new-realestate/AQ-RE-100184</t>
  </si>
  <si>
    <t>https://hbtf.com/ar/new-realestate/AQ-RE-100345</t>
  </si>
  <si>
    <t>https://hbtf.com/ar/new-realestate/AQ-RE-100444</t>
  </si>
  <si>
    <t>https://hbtf.com/ar/new-realestate/AQ-RE-100942</t>
  </si>
  <si>
    <t>https://hbtf.com/ar/new-realestate/AQ-RE-100384</t>
  </si>
  <si>
    <t>https://hbtf.com/ar/new-realestate/AQ-RE-100484</t>
  </si>
  <si>
    <t>https://hbtf.com/ar/new-realestate/AQ-RE-101226</t>
  </si>
  <si>
    <t>https://hbtf.com/ar/new-realestate/AQ-RE-101057</t>
  </si>
  <si>
    <t>https://hbtf.com/ar/new-realestate/AQ-RE-100133</t>
  </si>
  <si>
    <t>https://hbtf.com/ar/new-realestate/AQ-RE-100174</t>
  </si>
  <si>
    <t>https://hbtf.com/ar/new-realestate/AQ-RE-100323</t>
  </si>
  <si>
    <t>https://hbtf.com/ar/new-realestate/AQ-RE-101203</t>
  </si>
  <si>
    <t>https://hbtf.com/ar/new-realestate/AQ-RE-101133</t>
  </si>
  <si>
    <t>https://hbtf.com/ar/new-realestate/AQ-RE-100432</t>
  </si>
  <si>
    <t>https://hbtf.com/ar/new-realestate/AQ-RE-100597</t>
  </si>
  <si>
    <t>https://hbtf.com/ar/new-realestate/AQ-RE-100282</t>
  </si>
  <si>
    <t>https://hbtf.com/ar/new-realestate/AQ-RE-100278</t>
  </si>
  <si>
    <t>https://hbtf.com/ar/new-realestate/AQ-RE-100860</t>
  </si>
  <si>
    <t>https://hbtf.com/ar/new-realestate/AQ-RE-100289</t>
  </si>
  <si>
    <t>https://hbtf.com/ar/new-realestate/AQ-RE-100286</t>
  </si>
  <si>
    <t>https://hbtf.com/ar/new-realestate/AQ-RE-100512</t>
  </si>
  <si>
    <t>https://hbtf.com/ar/new-realestate/AQ-RE-100594</t>
  </si>
  <si>
    <t>https://hbtf.com/ar/new-realestate/AQ-RE-100201</t>
  </si>
  <si>
    <t>https://hbtf.com/ar/new-realestate/AQ-RE-100667</t>
  </si>
  <si>
    <t>https://hbtf.com/ar/new-realestate/AQ-RE-100539</t>
  </si>
  <si>
    <t>https://hbtf.com/ar/new-realestate/AQ-RE-100118</t>
  </si>
  <si>
    <t>https://hbtf.com/ar/new-realestate/AQ-RE-100616</t>
  </si>
  <si>
    <t>https://hbtf.com/ar/new-realestate/AQ-RE-101040</t>
  </si>
  <si>
    <t>https://hbtf.com/ar/new-realestate/AQ-RE-100618</t>
  </si>
  <si>
    <t>https://hbtf.com/ar/new-realestate/AQ-RE-100480</t>
  </si>
  <si>
    <t>https://hbtf.com/ar/new-realestate/AQ-RE-100066</t>
  </si>
  <si>
    <t>https://hbtf.com/ar/new-realestate/AQ-RE-100514</t>
  </si>
  <si>
    <t>https://hbtf.com/ar/new-realestate/AQ-RE-101041</t>
  </si>
  <si>
    <t>https://hbtf.com/ar/new-realestate/AQ-RE-100344</t>
  </si>
  <si>
    <t>https://hbtf.com/ar/new-realestate/AQ-RE-100619</t>
  </si>
  <si>
    <t>https://hbtf.com/ar/new-realestate/AQ-RE-100620</t>
  </si>
  <si>
    <t>https://hbtf.com/ar/new-realestate/AQ-RE-100366</t>
  </si>
  <si>
    <t>https://hbtf.com/ar/new-realestate/AQ-RE-100269</t>
  </si>
  <si>
    <t>https://hbtf.com/ar/new-realestate/AQ-RE-100117</t>
  </si>
  <si>
    <t>https://hbtf.com/ar/new-realestate/AQ-RE-100102</t>
  </si>
  <si>
    <t>https://hbtf.com/ar/new-realestate/AQ-RE-100314</t>
  </si>
  <si>
    <t>https://hbtf.com/ar/new-realestate/AQ-RE-100538</t>
  </si>
  <si>
    <t>https://hbtf.com/ar/new-realestate/AQ-RE-100267</t>
  </si>
  <si>
    <t>https://hbtf.com/ar/new-realestate/AQ-RE-100019</t>
  </si>
  <si>
    <t>https://hbtf.com/ar/new-realestate/AQ-RE-101092</t>
  </si>
  <si>
    <t>https://hbtf.com/ar/new-realestate/AQ-RE-101042</t>
  </si>
  <si>
    <t>https://hbtf.com/ar/new-realestate/AQ-RE-100536</t>
  </si>
  <si>
    <t>https://hbtf.com/ar/new-realestate/AQ-BLD-101059</t>
  </si>
  <si>
    <t>https://hbtf.com/ar/new-realestate/AQ-BLD-100095</t>
  </si>
  <si>
    <t>https://hbtf.com/ar/new-realestate/AQ-BLD-100839</t>
  </si>
  <si>
    <t>https://hbtf.com/ar/new-realestate/AQ-BLD-101018</t>
  </si>
  <si>
    <t>https://hbtf.com/ar/new-realestate/AQ-BLD-100531</t>
  </si>
  <si>
    <t>https://hbtf.com/ar/new-realestate/AQ-BLD-100563</t>
  </si>
  <si>
    <t>https://hbtf.com/ar/new-realestate/AQ-BLD-100472</t>
  </si>
  <si>
    <t>https://hbtf.com/ar/new-realestate/AQ-BLD-101060</t>
  </si>
  <si>
    <t>https://hbtf.com/ar/new-realestate/AQ-BLD-101427</t>
  </si>
  <si>
    <t>https://hbtf.com/ar/new-realestate/AQ-BLD-100162</t>
  </si>
  <si>
    <t>https://hbtf.com/ar/new-realestate/AQ-BLD-100946</t>
  </si>
  <si>
    <t>https://hbtf.com/ar/new-realestate/OS-BLD-101467</t>
  </si>
  <si>
    <t>https://hbtf.com/ar/new-realestate/AQ-BLD-100872</t>
  </si>
  <si>
    <t>https://hbtf.com/ar/new-realestate/AQ-LND-101298</t>
  </si>
  <si>
    <t>https://hbtf.com/ar/new-realestate/AQ-LND-101300</t>
  </si>
  <si>
    <t>https://hbtf.com/ar/new-realestate/AQ-LND-101276</t>
  </si>
  <si>
    <t>https://hbtf.com/ar/new-realestate/AQ-LND-101271</t>
  </si>
  <si>
    <t>https://hbtf.com/ar/new-realestate/AQ-LND-101279</t>
  </si>
  <si>
    <t>https://hbtf.com/ar/new-realestate/AQ-LND-101272</t>
  </si>
  <si>
    <t>https://hbtf.com/ar/new-realestate/AQ-LND-101274</t>
  </si>
  <si>
    <t>https://hbtf.com/ar/new-realestate/AQ-LND-101278</t>
  </si>
  <si>
    <t>https://hbtf.com/ar/new-realestate/AQ-LND-101284</t>
  </si>
  <si>
    <t>https://hbtf.com/ar/new-realestate/AQ-LND-101273</t>
  </si>
  <si>
    <t>https://hbtf.com/ar/new-realestate/AQ-LND-101286</t>
  </si>
  <si>
    <t>https://hbtf.com/ar/new-realestate/AQ-LND-101283</t>
  </si>
  <si>
    <t>https://hbtf.com/ar/new-realestate/AQ-LND-101277</t>
  </si>
  <si>
    <t>https://hbtf.com/ar/new-realestate/AQ-LND-101280</t>
  </si>
  <si>
    <t>https://hbtf.com/ar/new-realestate/AQ-LND-101275</t>
  </si>
  <si>
    <t>https://hbtf.com/ar/new-realestate/AQ-LND-101281</t>
  </si>
  <si>
    <t>https://hbtf.com/ar/new-realestate/AQ-LND-101285</t>
  </si>
  <si>
    <t>https://hbtf.com/ar/new-realestate/AQ-LND-100424</t>
  </si>
  <si>
    <t>https://hbtf.com/ar/new-realestate/AQ-LND-101301</t>
  </si>
  <si>
    <t>https://hbtf.com/ar/new-realestate/AQ-LND-100103</t>
  </si>
  <si>
    <t>https://hbtf.com/ar/new-realestate/AQ-LND-101292</t>
  </si>
  <si>
    <t>https://hbtf.com/ar/new-realestate/AQ-LND-101296</t>
  </si>
  <si>
    <t>https://hbtf.com/ar/new-realestate/AQ-LND-101294</t>
  </si>
  <si>
    <t>https://hbtf.com/ar/new-realestate/AQ-LND-101293</t>
  </si>
  <si>
    <t>https://hbtf.com/ar/new-realestate/AQ-LND-101295</t>
  </si>
  <si>
    <t>https://hbtf.com/ar/new-realestate/AQ-LND-101291</t>
  </si>
  <si>
    <t>https://hbtf.com/ar/new-realestate/AQ-LND-101288</t>
  </si>
  <si>
    <t>https://hbtf.com/ar/new-realestate/AQ-LND-101290</t>
  </si>
  <si>
    <t>https://hbtf.com/ar/new-realestate/AQ-LND-101287</t>
  </si>
  <si>
    <t>https://hbtf.com/ar/new-realestate/AQ-LND-101289</t>
  </si>
  <si>
    <t>https://hbtf.com/ar/new-realestate/AQ-LND-100452</t>
  </si>
  <si>
    <t>https://hbtf.com/ar/new-realestate/AQ-LND-101093</t>
  </si>
  <si>
    <t>https://hbtf.com/ar/new-realestate/AQ-LND-100425</t>
  </si>
  <si>
    <t>https://hbtf.com/ar/new-realestate/AQ-LND-101032</t>
  </si>
  <si>
    <t>https://hbtf.com/ar/new-realestate/AQ-LND-100417</t>
  </si>
  <si>
    <t>https://hbtf.com/ar/new-realestate/AQ-LND-100421</t>
  </si>
  <si>
    <t>https://hbtf.com/ar/new-realestate/AQ-LND-101037</t>
  </si>
  <si>
    <t>https://hbtf.com/ar/new-realestate/AQ-LND-100419</t>
  </si>
  <si>
    <t>https://hbtf.com/ar/new-realestate/AQ-LND-100476</t>
  </si>
  <si>
    <t>https://hbtf.com/ar/new-realestate/AQ-LND-100413</t>
  </si>
  <si>
    <t>https://hbtf.com/ar/new-realestate/AQ-RE-101003</t>
  </si>
  <si>
    <t>https://hbtf.com/ar/new-realestate/AQ-RE-100186</t>
  </si>
  <si>
    <t>https://hbtf.com/ar/new-realestate/AQ-RE-100640</t>
  </si>
  <si>
    <t>https://hbtf.com/ar/new-realestate/AQ-RE-100650</t>
  </si>
  <si>
    <t>https://hbtf.com/ar/new-realestate/AQ-RE-100368</t>
  </si>
  <si>
    <t>https://hbtf.com/ar/new-realestate/AQ-RE-100093</t>
  </si>
  <si>
    <t>https://hbtf.com/ar/new-realestate/AQ-RE-100637</t>
  </si>
  <si>
    <t>https://hbtf.com/ar/new-realestate/AQ-RE-101330</t>
  </si>
  <si>
    <t>https://hbtf.com/ar/new-realestate/AQ-BLD-100962</t>
  </si>
  <si>
    <t>https://hbtf.com/ar/new-realestate/AQ-RE-101005</t>
  </si>
  <si>
    <t>https://hbtf.com/ar/new-realestate/AQ-RE-100121</t>
  </si>
  <si>
    <t>https://hbtf.com/ar/new-realestate/AQ-RE-100412</t>
  </si>
  <si>
    <t>https://hbtf.com/ar/new-realestate/AQ-RE-100255</t>
  </si>
  <si>
    <t>https://hbtf.com/ar/new-realestate/AQ-BLD-100187</t>
  </si>
  <si>
    <t>https://hbtf.com/ar/new-realestate/AQ-BLD-100674</t>
  </si>
  <si>
    <t>https://hbtf.com/ar/new-realestate/AQ-BLD-100167</t>
  </si>
  <si>
    <t>https://hbtf.com/ar/new-realestate/AQ-BLD-100372</t>
  </si>
  <si>
    <t>https://hbtf.com/ar/new-realestate/AQ-BLD-101011</t>
  </si>
  <si>
    <t>https://hbtf.com/ar/new-realestate/AQ-BLD-100029</t>
  </si>
  <si>
    <t>https://hbtf.com/ar/new-realestate/AQ-BLD-100990</t>
  </si>
  <si>
    <t>https://hbtf.com/ar/new-realestate/AQ-BLD-100297</t>
  </si>
  <si>
    <t>https://hbtf.com/ar/new-realestate/AQ-BLD-100890</t>
  </si>
  <si>
    <t>https://hbtf.com/ar/new-realestate/AQ-LND-101013</t>
  </si>
  <si>
    <t>https://hbtf.com/ar/new-realestate/AQ-LND-100542</t>
  </si>
  <si>
    <t>https://hbtf.com/ar/new-realestate/AQ-BLD-100670</t>
  </si>
  <si>
    <t>https://hbtf.com/ar/new-realestate/AQ-BLD-100150</t>
  </si>
  <si>
    <t>https://hbtf.com/ar/new-realestate/AQ-BLD-100694</t>
  </si>
  <si>
    <t>https://hbtf.com/ar/new-realestate/AQ-BLD-100702</t>
  </si>
  <si>
    <t>https://hbtf.com/ar/new-realestate/AQ-BLD-100148</t>
  </si>
  <si>
    <t>https://hbtf.com/ar/new-realestate/AQ-BLD-101079</t>
  </si>
  <si>
    <t>https://hbtf.com/ar/new-realestate/AQ-BLD-100601</t>
  </si>
  <si>
    <t>https://hbtf.com/ar/new-realestate/AQ-BLD-100055</t>
  </si>
  <si>
    <t>https://hbtf.com/ar/new-realestate/AQ-BLD-100523</t>
  </si>
  <si>
    <t>https://hbtf.com/ar/new-realestate/AQ-BLD-100664</t>
  </si>
  <si>
    <t>https://hbtf.com/ar/new-realestate/AQ-BLD-100506</t>
  </si>
  <si>
    <t>https://hbtf.com/ar/new-realestate/AQ-BLD-100435</t>
  </si>
  <si>
    <t>https://hbtf.com/ar/new-realestate/AQ-BLD-101084</t>
  </si>
  <si>
    <t>https://hbtf.com/ar/new-realestate/AQ-LND-101067</t>
  </si>
  <si>
    <t>https://hbtf.com/ar/new-realestate/AQ-LND-101068</t>
  </si>
  <si>
    <t>https://hbtf.com/ar/new-realestate/AQ-LND-100458</t>
  </si>
  <si>
    <t>https://hbtf.com/ar/new-realestate/AQ-LND-101016</t>
  </si>
  <si>
    <t>https://hbtf.com/ar/new-realestate/AQ-LND-101066</t>
  </si>
  <si>
    <t>https://hbtf.com/ar/new-realestate/AQ-LND-101014</t>
  </si>
  <si>
    <t>https://hbtf.com/ar/new-realestate/AQ-LND-101015</t>
  </si>
  <si>
    <t>https://hbtf.com/ar/new-realestate/AQ-LND-101017</t>
  </si>
  <si>
    <t>https://hbtf.com/ar/new-realestate/AQ-LND-100196</t>
  </si>
  <si>
    <t>https://hbtf.com/ar/new-realestate/AQ-LND-101069</t>
  </si>
  <si>
    <t>https://hbtf.com/ar/new-realestate/AQ-BLD-100106</t>
  </si>
  <si>
    <t>https://hbtf.com/ar/new-realestate/AQ-RE-100373</t>
  </si>
  <si>
    <t>https://hbtf.com/ar/new-realestate/AQ-BLD-100163</t>
  </si>
  <si>
    <t>https://hbtf.com/ar/new-realestate/AQ-BLD-101090</t>
  </si>
  <si>
    <t>https://hbtf.com/ar/new-realestate/AQ-BLD-100320</t>
  </si>
  <si>
    <t>https://hbtf.com/ar/new-realestate/AQ-LND-100276</t>
  </si>
  <si>
    <t>https://hbtf.com/ar/new-realestate/AQ-RE-101247</t>
  </si>
  <si>
    <t>https://hbtf.com/ar/new-realestate/AQ-BLD-100730</t>
  </si>
  <si>
    <t>https://hbtf.com/ar/new-realestate/AQ-LND-100222</t>
  </si>
  <si>
    <t>https://hbtf.com/ar/new-realestate/AQ-RE-100983</t>
  </si>
  <si>
    <t>https://hbtf.com/ar/new-realestate/AQ-RE-101075</t>
  </si>
  <si>
    <t>https://hbtf.com/ar/new-realestate/AQ-BLD-100548</t>
  </si>
  <si>
    <t>https://hbtf.com/ar/new-realestate/AQ-LND-100584</t>
  </si>
  <si>
    <t>https://hbtf.com/ar/new-realestate/AQ-LND-100587</t>
  </si>
  <si>
    <t>https://hbtf.com/ar/new-realestate/AQ-BLD-100094</t>
  </si>
  <si>
    <t>https://hbtf.com/ar/new-realestate/AQ-LND-100658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</si>
</sst>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1"/>
      <name val="Calibri"/>
      <family val="2"/>
      <scheme val="minor"/>
    </font>
    <font>
      <b/>
      <sz val="18"/>
      <color theme="1"/>
      <name val="Calibri"/>
      <family val="2"/>
      <scheme val="minor"/>
    </font>
    <font>
      <u/>
      <sz val="11"/>
      <color theme="10"/>
      <name val="Calibri"/>
      <family val="2"/>
      <scheme val="minor"/>
    </font>
    <font>
      <sz val="10"/>
      <name val="Arial"/>
      <family val="2"/>
    </font>
    <font>
      <sz val="11"/>
      <color theme="1"/>
      <name val="Calibri"/>
      <family val="2"/>
      <scheme val="minor"/>
    </font>
    <font>
      <b/>
      <sz val="14"/>
      <name val="Calibri"/>
      <family val="2"/>
      <scheme val="minor"/>
    </font>
    <font>
      <b/>
      <sz val="14"/>
      <color theme="1"/>
      <name val="Calibri"/>
      <family val="2"/>
      <scheme val="minor"/>
    </font>
    <font>
      <u/>
      <sz val="14"/>
      <color theme="10"/>
      <name val="Calibri"/>
      <family val="2"/>
      <scheme val="minor"/>
    </font>
    <font>
      <sz val="8"/>
      <color theme="1"/>
      <name val="Alexandria"/>
    </font>
    <font>
      <sz val="8"/>
      <color rgb="FF0070C0"/>
      <name val="Alexandria"/>
    </font>
    <font>
      <sz val="11"/>
      <color theme="0"/>
      <name val="Calibri"/>
      <family val="2"/>
      <scheme val="minor"/>
    </font>
    <font>
      <sz val="8"/>
      <color theme="0"/>
      <name val="Alexandria"/>
    </font>
    <font>
      <u/>
      <sz val="11"/>
      <color theme="0"/>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4">
    <xf numFmtId="0" fontId="0" fillId="0" borderId="0"/>
    <xf numFmtId="0" fontId="3" fillId="0" borderId="0" applyNumberFormat="0" applyFill="0" applyBorder="0" applyAlignment="0" applyProtection="0"/>
    <xf numFmtId="0" fontId="5" fillId="0" borderId="0"/>
    <xf numFmtId="0" fontId="4" fillId="0" borderId="0"/>
  </cellStyleXfs>
  <cellXfs count="36">
    <xf numFmtId="0" fontId="0" fillId="0" borderId="0" xfId="0"/>
    <xf numFmtId="2" fontId="1" fillId="2" borderId="1" xfId="0" applyNumberFormat="1" applyFont="1" applyFill="1" applyBorder="1" applyAlignment="1" applyProtection="1">
      <alignment horizontal="center" vertical="center" wrapText="1"/>
      <protection locked="0"/>
    </xf>
    <xf numFmtId="2" fontId="1" fillId="0" borderId="2" xfId="0" applyNumberFormat="1" applyFont="1" applyBorder="1" applyAlignment="1" applyProtection="1">
      <alignment horizontal="center" vertical="center" wrapText="1"/>
      <protection locked="0"/>
    </xf>
    <xf numFmtId="0" fontId="3" fillId="0" borderId="13" xfId="1" applyBorder="1" applyAlignment="1" applyProtection="1">
      <alignment horizontal="center" vertical="center" wrapText="1"/>
      <protection locked="0"/>
    </xf>
    <xf numFmtId="0" fontId="3" fillId="0" borderId="11" xfId="1" applyBorder="1" applyAlignment="1" applyProtection="1">
      <alignment horizontal="center" vertical="center" wrapText="1"/>
      <protection locked="0"/>
    </xf>
    <xf numFmtId="0" fontId="3" fillId="0" borderId="15" xfId="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4" fontId="0" fillId="0" borderId="0" xfId="0" applyNumberFormat="1"/>
    <xf numFmtId="0" fontId="0" fillId="0" borderId="0" xfId="0"/>
    <xf numFmtId="2" fontId="2" fillId="3" borderId="3" xfId="0" applyNumberFormat="1" applyFont="1" applyFill="1" applyBorder="1" applyAlignment="1" applyProtection="1">
      <alignment horizontal="center" vertical="center" wrapText="1"/>
      <protection locked="0"/>
    </xf>
    <xf numFmtId="2" fontId="2" fillId="3" borderId="4" xfId="0" applyNumberFormat="1" applyFont="1" applyFill="1" applyBorder="1" applyAlignment="1" applyProtection="1">
      <alignment horizontal="center" vertical="center" wrapText="1"/>
      <protection locked="0"/>
    </xf>
    <xf numFmtId="2" fontId="2" fillId="3" borderId="5" xfId="0" applyNumberFormat="1" applyFont="1" applyFill="1" applyBorder="1" applyAlignment="1" applyProtection="1">
      <alignment horizontal="center" vertical="center" wrapText="1"/>
      <protection locked="0"/>
    </xf>
    <xf numFmtId="2" fontId="2" fillId="3" borderId="6" xfId="0" applyNumberFormat="1" applyFont="1" applyFill="1" applyBorder="1" applyAlignment="1" applyProtection="1">
      <alignment horizontal="center" vertical="center" wrapText="1"/>
      <protection locked="0"/>
    </xf>
    <xf numFmtId="2" fontId="2" fillId="3" borderId="7" xfId="0" applyNumberFormat="1" applyFont="1" applyFill="1" applyBorder="1" applyAlignment="1" applyProtection="1">
      <alignment horizontal="center" vertical="center" wrapText="1"/>
      <protection locked="0"/>
    </xf>
    <xf numFmtId="14" fontId="2" fillId="3" borderId="7" xfId="0" applyNumberFormat="1"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2" fontId="6" fillId="3" borderId="4" xfId="0" applyNumberFormat="1" applyFont="1" applyFill="1" applyBorder="1" applyAlignment="1" applyProtection="1">
      <alignment horizontal="left" vertical="center" wrapText="1"/>
      <protection locked="0"/>
    </xf>
    <xf numFmtId="14" fontId="6" fillId="3" borderId="4" xfId="0" applyNumberFormat="1" applyFont="1" applyFill="1" applyBorder="1" applyAlignment="1" applyProtection="1">
      <alignment horizontal="right" vertical="center" wrapText="1"/>
      <protection locked="0"/>
    </xf>
    <xf numFmtId="2" fontId="7" fillId="3" borderId="7" xfId="0" applyNumberFormat="1" applyFont="1" applyFill="1" applyBorder="1" applyAlignment="1" applyProtection="1">
      <alignment horizontal="left" vertical="center" wrapText="1"/>
      <protection locked="0"/>
    </xf>
    <xf numFmtId="2" fontId="8" fillId="3" borderId="7" xfId="1" applyNumberFormat="1" applyFont="1" applyFill="1" applyBorder="1" applyAlignment="1" applyProtection="1">
      <alignment horizontal="right" vertical="center" wrapText="1"/>
      <protection locked="0"/>
    </xf>
    <xf numFmtId="0" fontId="0" fillId="0" borderId="13"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2" xfId="0" applyFont="1" applyBorder="1" applyAlignment="1">
      <alignment horizontal="center" vertical="center" wrapText="1"/>
    </xf>
    <xf numFmtId="0" fontId="9" fillId="0" borderId="12" xfId="0" applyFont="1" applyFill="1" applyBorder="1" applyAlignment="1">
      <alignment horizontal="center" vertical="center" wrapText="1"/>
    </xf>
    <xf numFmtId="0" fontId="10" fillId="0" borderId="12" xfId="0" applyFont="1" applyBorder="1" applyAlignment="1">
      <alignment horizontal="center" vertical="center" wrapText="1"/>
    </xf>
    <xf numFmtId="14" fontId="6" fillId="3" borderId="4" xfId="0" applyNumberFormat="1" applyFont="1" applyFill="1" applyBorder="1" applyAlignment="1" applyProtection="1">
      <alignment horizontal="right" vertical="center" wrapText="1"/>
      <protection locked="0"/>
    </xf>
    <xf numFmtId="2" fontId="7" fillId="3" borderId="7" xfId="0" applyNumberFormat="1" applyFont="1" applyFill="1" applyBorder="1" applyAlignment="1" applyProtection="1">
      <alignment horizontal="right" vertical="center" wrapText="1"/>
      <protection locked="0"/>
    </xf>
    <xf numFmtId="2" fontId="8" fillId="3" borderId="8" xfId="1" applyNumberFormat="1" applyFont="1" applyFill="1" applyBorder="1" applyAlignment="1" applyProtection="1">
      <alignment horizontal="right" vertical="center" wrapText="1"/>
      <protection locked="0"/>
    </xf>
    <xf numFmtId="2" fontId="3" fillId="3" borderId="7" xfId="1" applyNumberFormat="1" applyFill="1" applyBorder="1" applyAlignment="1" applyProtection="1">
      <alignment horizontal="right" vertical="center" wrapText="1"/>
      <protection locked="0"/>
    </xf>
    <xf numFmtId="0" fontId="11" fillId="0" borderId="0" xfId="0" applyNumberFormat="1" applyFont="1" applyFill="1" applyAlignment="1" applyProtection="1">
      <alignment horizontal="center" vertical="center" wrapText="1"/>
      <protection locked="0"/>
    </xf>
    <xf numFmtId="0" fontId="12" fillId="0" borderId="0" xfId="0" applyNumberFormat="1" applyFont="1" applyFill="1" applyAlignment="1" applyProtection="1">
      <alignment horizontal="center" vertical="center" wrapText="1"/>
      <protection locked="0"/>
    </xf>
    <xf numFmtId="0" fontId="13" fillId="0" borderId="0" xfId="1" applyNumberFormat="1" applyFont="1" applyFill="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cellXfs>
  <cellStyles count="4">
    <cellStyle name="Hyperlink" xfId="1" builtinId="8"/>
    <cellStyle name="Normal" xfId="0" builtinId="0"/>
    <cellStyle name="Normal 2" xfId="2" xr:uid="{00000000-0005-0000-0000-000002000000}"/>
    <cellStyle name="Normal 3" xfId="3" xr:uid="{00000000-0005-0000-0000-000003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btf.com/ar/new-realestate/AQ-RE-101111" TargetMode="External"/><Relationship Id="rId1" Type="http://schemas.openxmlformats.org/officeDocument/2006/relationships/hyperlink" Target="https://hbtf.com/ar/new-realest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60"/>
  <sheetViews>
    <sheetView rightToLeft="1" tabSelected="1" zoomScaleNormal="100" workbookViewId="0">
      <pane ySplit="3" topLeftCell="A4" activePane="bottomLeft" state="frozen"/>
      <selection pane="bottomLeft" activeCell="J4" sqref="J4"/>
    </sheetView>
  </sheetViews>
  <sheetFormatPr defaultColWidth="9.109375" defaultRowHeight="14.4" x14ac:dyDescent="0.3"/>
  <cols>
    <col min="1" max="1" width="14.88671875" style="16" bestFit="1" customWidth="1"/>
    <col min="2" max="2" width="11.88671875" style="16" bestFit="1" customWidth="1"/>
    <col min="3" max="3" width="11.77734375" style="16" bestFit="1" customWidth="1"/>
    <col min="4" max="4" width="11" style="16" bestFit="1" customWidth="1"/>
    <col min="5" max="5" width="10.77734375" style="16" bestFit="1" customWidth="1"/>
    <col min="6" max="6" width="10.44140625" style="16" bestFit="1" customWidth="1"/>
    <col min="7" max="7" width="10.5546875" style="16" bestFit="1" customWidth="1"/>
    <col min="8" max="8" width="11" style="16" bestFit="1" customWidth="1"/>
    <col min="9" max="9" width="10.44140625" style="16" bestFit="1" customWidth="1"/>
    <col min="10" max="10" width="9.33203125" style="16" bestFit="1" customWidth="1"/>
    <col min="11" max="11" width="9.77734375" style="16" bestFit="1" customWidth="1"/>
    <col min="12" max="12" width="10.109375" style="16" bestFit="1" customWidth="1"/>
    <col min="13" max="13" width="23.77734375" style="16" bestFit="1" customWidth="1"/>
    <col min="14" max="14" width="9.109375" style="16" bestFit="1" customWidth="1"/>
    <col min="15" max="15" width="10" style="16" bestFit="1" customWidth="1"/>
    <col min="16" max="16" width="9.6640625" style="16" bestFit="1" customWidth="1"/>
    <col min="17" max="17" width="9.21875" style="16" bestFit="1" customWidth="1"/>
    <col min="18" max="18" width="8.88671875" style="16" customWidth="1"/>
    <col min="19" max="19" width="9.109375" style="31"/>
    <col min="20" max="16384" width="9.109375" style="16"/>
  </cols>
  <sheetData>
    <row r="1" spans="1:19" ht="46.8" x14ac:dyDescent="0.3">
      <c r="A1" s="1" t="s">
        <v>0</v>
      </c>
      <c r="B1" s="2" t="s">
        <v>3972</v>
      </c>
      <c r="C1" s="10"/>
      <c r="D1" s="11"/>
      <c r="E1" s="17" t="s">
        <v>3969</v>
      </c>
      <c r="F1" s="17"/>
      <c r="G1" s="17"/>
      <c r="H1" s="17"/>
      <c r="I1" s="17"/>
      <c r="J1" s="18">
        <v>46282</v>
      </c>
      <c r="K1" s="18"/>
      <c r="L1" s="18"/>
      <c r="M1" s="12"/>
      <c r="N1" s="27"/>
      <c r="O1" s="27"/>
      <c r="P1" s="27"/>
      <c r="Q1" s="27"/>
      <c r="R1" s="27"/>
    </row>
    <row r="2" spans="1:19" ht="47.4" thickBot="1" x14ac:dyDescent="0.35">
      <c r="A2" s="1" t="s">
        <v>1</v>
      </c>
      <c r="B2" s="2" t="s">
        <v>2</v>
      </c>
      <c r="C2" s="13"/>
      <c r="D2" s="14"/>
      <c r="E2" s="19" t="s">
        <v>3970</v>
      </c>
      <c r="F2" s="19"/>
      <c r="G2" s="19"/>
      <c r="H2" s="19"/>
      <c r="I2" s="19"/>
      <c r="J2" s="30" t="s">
        <v>3971</v>
      </c>
      <c r="K2" s="20"/>
      <c r="L2" s="20"/>
      <c r="M2" s="29"/>
      <c r="N2" s="28"/>
      <c r="O2" s="28"/>
      <c r="P2" s="28"/>
      <c r="Q2" s="15"/>
      <c r="R2" s="28"/>
    </row>
    <row r="3" spans="1:19" s="23" customFormat="1" ht="30" x14ac:dyDescent="0.3">
      <c r="A3" s="34" t="s">
        <v>3</v>
      </c>
      <c r="B3" s="34" t="s">
        <v>4</v>
      </c>
      <c r="C3" s="35" t="s">
        <v>5</v>
      </c>
      <c r="D3" s="35" t="s">
        <v>6</v>
      </c>
      <c r="E3" s="35" t="s">
        <v>7</v>
      </c>
      <c r="F3" s="35" t="s">
        <v>8</v>
      </c>
      <c r="G3" s="35" t="s">
        <v>9</v>
      </c>
      <c r="H3" s="35" t="s">
        <v>10</v>
      </c>
      <c r="I3" s="35" t="s">
        <v>11</v>
      </c>
      <c r="J3" s="35" t="s">
        <v>12</v>
      </c>
      <c r="K3" s="35" t="s">
        <v>13</v>
      </c>
      <c r="L3" s="35" t="s">
        <v>14</v>
      </c>
      <c r="M3" s="35" t="s">
        <v>19</v>
      </c>
      <c r="N3" s="35" t="s">
        <v>15</v>
      </c>
      <c r="O3" s="35" t="s">
        <v>16</v>
      </c>
      <c r="P3" s="35" t="s">
        <v>17</v>
      </c>
      <c r="Q3" s="35" t="s">
        <v>18</v>
      </c>
      <c r="R3" s="35" t="s">
        <v>3975</v>
      </c>
      <c r="S3" s="32"/>
    </row>
    <row r="4" spans="1:19" s="23" customFormat="1" ht="86.4" x14ac:dyDescent="0.3">
      <c r="A4" s="24" t="s">
        <v>46</v>
      </c>
      <c r="B4" s="25" t="s">
        <v>21</v>
      </c>
      <c r="C4" s="24" t="s">
        <v>22</v>
      </c>
      <c r="D4" s="24" t="s">
        <v>23</v>
      </c>
      <c r="E4" s="24" t="s">
        <v>24</v>
      </c>
      <c r="F4" s="24" t="s">
        <v>25</v>
      </c>
      <c r="G4" s="24" t="s">
        <v>26</v>
      </c>
      <c r="H4" s="24" t="s">
        <v>27</v>
      </c>
      <c r="I4" s="24">
        <v>1407</v>
      </c>
      <c r="J4" s="24">
        <v>107</v>
      </c>
      <c r="K4" s="24" t="s">
        <v>28</v>
      </c>
      <c r="L4" s="24" t="s">
        <v>47</v>
      </c>
      <c r="M4" s="24" t="s">
        <v>3973</v>
      </c>
      <c r="N4" s="26" t="s">
        <v>30</v>
      </c>
      <c r="O4" s="26" t="s">
        <v>30</v>
      </c>
      <c r="P4" s="26" t="str">
        <f>IF(NOT("https://maps.app.goo.gl/pifTYeCxr41ZPNEo6" = ""), HYPERLINK("https://maps.app.goo.gl/pifTYeCxr41ZPNEo6", "موقع"), "")</f>
        <v>موقع</v>
      </c>
      <c r="Q4" s="24">
        <v>20000</v>
      </c>
      <c r="R4" s="26" t="str">
        <f>HYPERLINK(S4,"تقديم طلب")</f>
        <v>تقديم طلب</v>
      </c>
      <c r="S4" s="33" t="s">
        <v>3976</v>
      </c>
    </row>
    <row r="5" spans="1:19" s="23" customFormat="1" ht="90" x14ac:dyDescent="0.3">
      <c r="A5" s="24" t="s">
        <v>32</v>
      </c>
      <c r="B5" s="25" t="s">
        <v>21</v>
      </c>
      <c r="C5" s="24" t="s">
        <v>22</v>
      </c>
      <c r="D5" s="24" t="s">
        <v>23</v>
      </c>
      <c r="E5" s="24" t="s">
        <v>24</v>
      </c>
      <c r="F5" s="24" t="s">
        <v>25</v>
      </c>
      <c r="G5" s="24" t="s">
        <v>26</v>
      </c>
      <c r="H5" s="24" t="s">
        <v>27</v>
      </c>
      <c r="I5" s="24">
        <v>1407</v>
      </c>
      <c r="J5" s="24">
        <v>-109</v>
      </c>
      <c r="K5" s="24" t="s">
        <v>33</v>
      </c>
      <c r="L5" s="24" t="s">
        <v>34</v>
      </c>
      <c r="M5" s="24" t="s">
        <v>3974</v>
      </c>
      <c r="N5" s="26" t="s">
        <v>30</v>
      </c>
      <c r="O5" s="26" t="s">
        <v>30</v>
      </c>
      <c r="P5" s="26" t="str">
        <f>IF(NOT("https://maps.app.goo.gl/TiVucRGg5RVLEjAY7" = ""), HYPERLINK("https://maps.app.goo.gl/TiVucRGg5RVLEjAY7", "موقع"), "")</f>
        <v>موقع</v>
      </c>
      <c r="Q5" s="24">
        <v>9000</v>
      </c>
      <c r="R5" s="26" t="str">
        <f t="shared" ref="R5:R68" si="0">HYPERLINK(S5,"تقديم طلب")</f>
        <v>تقديم طلب</v>
      </c>
      <c r="S5" s="32" t="s">
        <v>3977</v>
      </c>
    </row>
    <row r="6" spans="1:19" s="23" customFormat="1" ht="105" x14ac:dyDescent="0.3">
      <c r="A6" s="24" t="s">
        <v>36</v>
      </c>
      <c r="B6" s="25" t="s">
        <v>21</v>
      </c>
      <c r="C6" s="24" t="s">
        <v>22</v>
      </c>
      <c r="D6" s="24" t="s">
        <v>23</v>
      </c>
      <c r="E6" s="24" t="s">
        <v>24</v>
      </c>
      <c r="F6" s="24" t="s">
        <v>25</v>
      </c>
      <c r="G6" s="24" t="s">
        <v>26</v>
      </c>
      <c r="H6" s="24" t="s">
        <v>27</v>
      </c>
      <c r="I6" s="24">
        <v>1407</v>
      </c>
      <c r="J6" s="24">
        <v>-105</v>
      </c>
      <c r="K6" s="24" t="s">
        <v>33</v>
      </c>
      <c r="L6" s="24" t="s">
        <v>34</v>
      </c>
      <c r="M6" s="24" t="s">
        <v>35</v>
      </c>
      <c r="N6" s="26" t="s">
        <v>30</v>
      </c>
      <c r="O6" s="26" t="s">
        <v>30</v>
      </c>
      <c r="P6" s="26" t="str">
        <f>IF(NOT("https://maps.app.goo.gl/8szHmw75q7cGjeJ57" = ""), HYPERLINK("https://maps.app.goo.gl/8szHmw75q7cGjeJ57", "موقع"), "")</f>
        <v>موقع</v>
      </c>
      <c r="Q6" s="24">
        <v>9000</v>
      </c>
      <c r="R6" s="26" t="str">
        <f t="shared" si="0"/>
        <v>تقديم طلب</v>
      </c>
      <c r="S6" s="32" t="s">
        <v>3978</v>
      </c>
    </row>
    <row r="7" spans="1:19" s="23" customFormat="1" ht="105" x14ac:dyDescent="0.3">
      <c r="A7" s="24" t="s">
        <v>37</v>
      </c>
      <c r="B7" s="25" t="s">
        <v>21</v>
      </c>
      <c r="C7" s="24" t="s">
        <v>22</v>
      </c>
      <c r="D7" s="24" t="s">
        <v>23</v>
      </c>
      <c r="E7" s="24" t="s">
        <v>24</v>
      </c>
      <c r="F7" s="24" t="s">
        <v>25</v>
      </c>
      <c r="G7" s="24" t="s">
        <v>26</v>
      </c>
      <c r="H7" s="24" t="s">
        <v>27</v>
      </c>
      <c r="I7" s="24">
        <v>1407</v>
      </c>
      <c r="J7" s="24">
        <v>-104</v>
      </c>
      <c r="K7" s="24" t="s">
        <v>33</v>
      </c>
      <c r="L7" s="24" t="s">
        <v>34</v>
      </c>
      <c r="M7" s="24" t="s">
        <v>35</v>
      </c>
      <c r="N7" s="26" t="s">
        <v>30</v>
      </c>
      <c r="O7" s="26" t="s">
        <v>30</v>
      </c>
      <c r="P7" s="26" t="str">
        <f>IF(NOT("https://maps.app.goo.gl/utZa7pbDNC5BNjBR8" = ""), HYPERLINK("https://maps.app.goo.gl/utZa7pbDNC5BNjBR8", "موقع"), "")</f>
        <v>موقع</v>
      </c>
      <c r="Q7" s="24">
        <v>9000</v>
      </c>
      <c r="R7" s="26" t="str">
        <f t="shared" si="0"/>
        <v>تقديم طلب</v>
      </c>
      <c r="S7" s="32" t="s">
        <v>3979</v>
      </c>
    </row>
    <row r="8" spans="1:19" s="23" customFormat="1" ht="105" x14ac:dyDescent="0.3">
      <c r="A8" s="24" t="s">
        <v>38</v>
      </c>
      <c r="B8" s="25" t="s">
        <v>21</v>
      </c>
      <c r="C8" s="24" t="s">
        <v>22</v>
      </c>
      <c r="D8" s="24" t="s">
        <v>23</v>
      </c>
      <c r="E8" s="24" t="s">
        <v>24</v>
      </c>
      <c r="F8" s="24" t="s">
        <v>25</v>
      </c>
      <c r="G8" s="24" t="s">
        <v>26</v>
      </c>
      <c r="H8" s="24" t="s">
        <v>27</v>
      </c>
      <c r="I8" s="24">
        <v>1407</v>
      </c>
      <c r="J8" s="24">
        <v>-103</v>
      </c>
      <c r="K8" s="24" t="s">
        <v>33</v>
      </c>
      <c r="L8" s="24" t="s">
        <v>34</v>
      </c>
      <c r="M8" s="24" t="s">
        <v>35</v>
      </c>
      <c r="N8" s="26" t="s">
        <v>30</v>
      </c>
      <c r="O8" s="26" t="s">
        <v>30</v>
      </c>
      <c r="P8" s="26" t="str">
        <f>IF(NOT("https://maps.app.goo.gl/RYd23MtaG2mUYFnd7" = ""), HYPERLINK("https://maps.app.goo.gl/RYd23MtaG2mUYFnd7", "موقع"), "")</f>
        <v>موقع</v>
      </c>
      <c r="Q8" s="24">
        <v>9000</v>
      </c>
      <c r="R8" s="26" t="str">
        <f t="shared" si="0"/>
        <v>تقديم طلب</v>
      </c>
      <c r="S8" s="32" t="s">
        <v>3980</v>
      </c>
    </row>
    <row r="9" spans="1:19" s="23" customFormat="1" ht="105" x14ac:dyDescent="0.3">
      <c r="A9" s="24" t="s">
        <v>39</v>
      </c>
      <c r="B9" s="25" t="s">
        <v>21</v>
      </c>
      <c r="C9" s="24" t="s">
        <v>22</v>
      </c>
      <c r="D9" s="24" t="s">
        <v>23</v>
      </c>
      <c r="E9" s="24" t="s">
        <v>24</v>
      </c>
      <c r="F9" s="24" t="s">
        <v>25</v>
      </c>
      <c r="G9" s="24" t="s">
        <v>26</v>
      </c>
      <c r="H9" s="24" t="s">
        <v>27</v>
      </c>
      <c r="I9" s="24">
        <v>1407</v>
      </c>
      <c r="J9" s="24">
        <v>-106</v>
      </c>
      <c r="K9" s="24" t="s">
        <v>33</v>
      </c>
      <c r="L9" s="24" t="s">
        <v>40</v>
      </c>
      <c r="M9" s="24" t="s">
        <v>41</v>
      </c>
      <c r="N9" s="26" t="s">
        <v>30</v>
      </c>
      <c r="O9" s="26" t="s">
        <v>30</v>
      </c>
      <c r="P9" s="26" t="str">
        <f>IF(NOT("https://maps.app.goo.gl/krbj2GhMvuWbUamp8" = ""), HYPERLINK("https://maps.app.goo.gl/krbj2GhMvuWbUamp8", "موقع"), "")</f>
        <v>موقع</v>
      </c>
      <c r="Q9" s="24">
        <v>9000</v>
      </c>
      <c r="R9" s="26" t="str">
        <f t="shared" si="0"/>
        <v>تقديم طلب</v>
      </c>
      <c r="S9" s="32" t="s">
        <v>3981</v>
      </c>
    </row>
    <row r="10" spans="1:19" s="23" customFormat="1" ht="105" x14ac:dyDescent="0.3">
      <c r="A10" s="24" t="s">
        <v>42</v>
      </c>
      <c r="B10" s="25" t="s">
        <v>21</v>
      </c>
      <c r="C10" s="24" t="s">
        <v>22</v>
      </c>
      <c r="D10" s="24" t="s">
        <v>23</v>
      </c>
      <c r="E10" s="24" t="s">
        <v>24</v>
      </c>
      <c r="F10" s="24" t="s">
        <v>25</v>
      </c>
      <c r="G10" s="24" t="s">
        <v>26</v>
      </c>
      <c r="H10" s="24" t="s">
        <v>27</v>
      </c>
      <c r="I10" s="24">
        <v>1407</v>
      </c>
      <c r="J10" s="24">
        <v>106</v>
      </c>
      <c r="K10" s="24" t="s">
        <v>43</v>
      </c>
      <c r="L10" s="24" t="s">
        <v>44</v>
      </c>
      <c r="M10" s="24" t="s">
        <v>45</v>
      </c>
      <c r="N10" s="26" t="s">
        <v>30</v>
      </c>
      <c r="O10" s="26" t="s">
        <v>30</v>
      </c>
      <c r="P10" s="26" t="str">
        <f>IF(NOT("https://maps.app.goo.gl/6VeK1soQc9FANyGr5" = ""), HYPERLINK("https://maps.app.goo.gl/6VeK1soQc9FANyGr5", "موقع"), "")</f>
        <v>موقع</v>
      </c>
      <c r="Q10" s="24">
        <v>9000</v>
      </c>
      <c r="R10" s="26" t="str">
        <f t="shared" si="0"/>
        <v>تقديم طلب</v>
      </c>
      <c r="S10" s="32" t="s">
        <v>3982</v>
      </c>
    </row>
    <row r="11" spans="1:19" s="23" customFormat="1" ht="90" x14ac:dyDescent="0.3">
      <c r="A11" s="24" t="s">
        <v>20</v>
      </c>
      <c r="B11" s="25" t="s">
        <v>21</v>
      </c>
      <c r="C11" s="24" t="s">
        <v>22</v>
      </c>
      <c r="D11" s="24" t="s">
        <v>23</v>
      </c>
      <c r="E11" s="24" t="s">
        <v>24</v>
      </c>
      <c r="F11" s="24" t="s">
        <v>25</v>
      </c>
      <c r="G11" s="24" t="s">
        <v>26</v>
      </c>
      <c r="H11" s="24" t="s">
        <v>27</v>
      </c>
      <c r="I11" s="24">
        <v>1407</v>
      </c>
      <c r="J11" s="24">
        <v>-108</v>
      </c>
      <c r="K11" s="24" t="s">
        <v>28</v>
      </c>
      <c r="L11" s="24" t="s">
        <v>29</v>
      </c>
      <c r="M11" s="24" t="s">
        <v>31</v>
      </c>
      <c r="N11" s="26" t="s">
        <v>30</v>
      </c>
      <c r="O11" s="26" t="s">
        <v>30</v>
      </c>
      <c r="P11" s="26" t="s">
        <v>30</v>
      </c>
      <c r="Q11" s="24">
        <v>8000</v>
      </c>
      <c r="R11" s="26" t="str">
        <f t="shared" si="0"/>
        <v>تقديم طلب</v>
      </c>
      <c r="S11" s="32" t="s">
        <v>3983</v>
      </c>
    </row>
    <row r="12" spans="1:19" s="23" customFormat="1" ht="90" x14ac:dyDescent="0.3">
      <c r="A12" s="24" t="s">
        <v>49</v>
      </c>
      <c r="B12" s="25" t="s">
        <v>21</v>
      </c>
      <c r="C12" s="24" t="s">
        <v>50</v>
      </c>
      <c r="D12" s="24" t="s">
        <v>23</v>
      </c>
      <c r="E12" s="24" t="s">
        <v>51</v>
      </c>
      <c r="F12" s="24" t="s">
        <v>52</v>
      </c>
      <c r="G12" s="24" t="s">
        <v>53</v>
      </c>
      <c r="H12" s="24" t="s">
        <v>54</v>
      </c>
      <c r="I12" s="24">
        <v>84</v>
      </c>
      <c r="J12" s="24">
        <v>131</v>
      </c>
      <c r="K12" s="24" t="s">
        <v>55</v>
      </c>
      <c r="L12" s="24" t="s">
        <v>56</v>
      </c>
      <c r="M12" s="24" t="s">
        <v>57</v>
      </c>
      <c r="N12" s="26" t="s">
        <v>30</v>
      </c>
      <c r="O12" s="26" t="s">
        <v>30</v>
      </c>
      <c r="P12" s="26" t="str">
        <f>IF(NOT("https://maps.app.goo.gl/A3XZbfh84v35bWus8" = ""), HYPERLINK("https://maps.app.goo.gl/A3XZbfh84v35bWus8", "موقع"), "")</f>
        <v>موقع</v>
      </c>
      <c r="Q12" s="24">
        <v>8000</v>
      </c>
      <c r="R12" s="26" t="str">
        <f t="shared" si="0"/>
        <v>تقديم طلب</v>
      </c>
      <c r="S12" s="32" t="s">
        <v>3984</v>
      </c>
    </row>
    <row r="13" spans="1:19" s="23" customFormat="1" ht="135" x14ac:dyDescent="0.3">
      <c r="A13" s="24" t="s">
        <v>264</v>
      </c>
      <c r="B13" s="25" t="s">
        <v>21</v>
      </c>
      <c r="C13" s="24" t="s">
        <v>59</v>
      </c>
      <c r="D13" s="24" t="s">
        <v>23</v>
      </c>
      <c r="E13" s="24" t="s">
        <v>24</v>
      </c>
      <c r="F13" s="24" t="s">
        <v>112</v>
      </c>
      <c r="G13" s="24" t="s">
        <v>265</v>
      </c>
      <c r="H13" s="24" t="s">
        <v>114</v>
      </c>
      <c r="I13" s="24">
        <v>520</v>
      </c>
      <c r="J13" s="24">
        <v>101</v>
      </c>
      <c r="K13" s="24" t="s">
        <v>28</v>
      </c>
      <c r="L13" s="24" t="s">
        <v>266</v>
      </c>
      <c r="M13" s="24" t="s">
        <v>267</v>
      </c>
      <c r="N13" s="26" t="s">
        <v>30</v>
      </c>
      <c r="O13" s="26" t="s">
        <v>30</v>
      </c>
      <c r="P13" s="26" t="str">
        <f>IF(NOT("https://maps.app.goo.gl/2w2uVt4FemXAGDpU8" = ""), HYPERLINK("https://maps.app.goo.gl/2w2uVt4FemXAGDpU8", "موقع"), "")</f>
        <v>موقع</v>
      </c>
      <c r="Q13" s="24">
        <v>138000</v>
      </c>
      <c r="R13" s="26" t="str">
        <f t="shared" si="0"/>
        <v>تقديم طلب</v>
      </c>
      <c r="S13" s="32" t="s">
        <v>3985</v>
      </c>
    </row>
    <row r="14" spans="1:19" s="23" customFormat="1" ht="105" x14ac:dyDescent="0.3">
      <c r="A14" s="24" t="s">
        <v>260</v>
      </c>
      <c r="B14" s="25" t="s">
        <v>21</v>
      </c>
      <c r="C14" s="24" t="s">
        <v>59</v>
      </c>
      <c r="D14" s="24" t="s">
        <v>23</v>
      </c>
      <c r="E14" s="24" t="s">
        <v>24</v>
      </c>
      <c r="F14" s="24" t="s">
        <v>214</v>
      </c>
      <c r="G14" s="24" t="s">
        <v>261</v>
      </c>
      <c r="H14" s="24" t="s">
        <v>154</v>
      </c>
      <c r="I14" s="24">
        <v>744</v>
      </c>
      <c r="J14" s="24">
        <v>102</v>
      </c>
      <c r="K14" s="24" t="s">
        <v>28</v>
      </c>
      <c r="L14" s="24" t="s">
        <v>262</v>
      </c>
      <c r="M14" s="24" t="s">
        <v>263</v>
      </c>
      <c r="N14" s="26" t="str">
        <f>IF(NOT("https://youtu.be/D8Y4KRclEZE" = ""), HYPERLINK("https://youtu.be/D8Y4KRclEZE", "فيديو"), "")</f>
        <v>فيديو</v>
      </c>
      <c r="O14" s="26" t="str">
        <f>IF(NOT("https://truemarkets3d.net/3d-virtual-tour/housingbank-realestate/phase3/aq-re-100859/index.html" = ""), HYPERLINK("https://truemarkets3d.net/3d-virtual-tour/housingbank-realestate/phase3/aq-re-100859/index.html", "جولة"), "")</f>
        <v>جولة</v>
      </c>
      <c r="P14" s="26" t="str">
        <f>IF(NOT("https://maps.app.goo.gl/zSEA5XpME1wWKdWV7" = ""), HYPERLINK("https://maps.app.goo.gl/zSEA5XpME1wWKdWV7", "موقع"), "")</f>
        <v>موقع</v>
      </c>
      <c r="Q14" s="24">
        <v>94000</v>
      </c>
      <c r="R14" s="26" t="str">
        <f t="shared" si="0"/>
        <v>تقديم طلب</v>
      </c>
      <c r="S14" s="32" t="s">
        <v>3986</v>
      </c>
    </row>
    <row r="15" spans="1:19" s="23" customFormat="1" ht="90" x14ac:dyDescent="0.3">
      <c r="A15" s="24" t="s">
        <v>257</v>
      </c>
      <c r="B15" s="25" t="s">
        <v>21</v>
      </c>
      <c r="C15" s="24" t="s">
        <v>59</v>
      </c>
      <c r="D15" s="24" t="s">
        <v>23</v>
      </c>
      <c r="E15" s="24" t="s">
        <v>24</v>
      </c>
      <c r="F15" s="24" t="s">
        <v>25</v>
      </c>
      <c r="G15" s="24" t="s">
        <v>189</v>
      </c>
      <c r="H15" s="24" t="s">
        <v>190</v>
      </c>
      <c r="I15" s="24">
        <v>454</v>
      </c>
      <c r="J15" s="24">
        <v>102</v>
      </c>
      <c r="K15" s="24" t="s">
        <v>28</v>
      </c>
      <c r="L15" s="24" t="s">
        <v>258</v>
      </c>
      <c r="M15" s="24" t="s">
        <v>259</v>
      </c>
      <c r="N15" s="26" t="s">
        <v>30</v>
      </c>
      <c r="O15" s="26" t="s">
        <v>30</v>
      </c>
      <c r="P15" s="26" t="str">
        <f>IF(NOT("https://maps.app.goo.gl/2GDfBetfSssmAttz7" = ""), HYPERLINK("https://maps.app.goo.gl/2GDfBetfSssmAttz7", "موقع"), "")</f>
        <v>موقع</v>
      </c>
      <c r="Q15" s="24">
        <v>58000</v>
      </c>
      <c r="R15" s="26" t="str">
        <f t="shared" si="0"/>
        <v>تقديم طلب</v>
      </c>
      <c r="S15" s="32" t="s">
        <v>3987</v>
      </c>
    </row>
    <row r="16" spans="1:19" s="23" customFormat="1" ht="90" x14ac:dyDescent="0.3">
      <c r="A16" s="24" t="s">
        <v>249</v>
      </c>
      <c r="B16" s="25" t="s">
        <v>21</v>
      </c>
      <c r="C16" s="24" t="s">
        <v>59</v>
      </c>
      <c r="D16" s="24" t="s">
        <v>23</v>
      </c>
      <c r="E16" s="24" t="s">
        <v>24</v>
      </c>
      <c r="F16" s="24" t="s">
        <v>112</v>
      </c>
      <c r="G16" s="24" t="s">
        <v>250</v>
      </c>
      <c r="H16" s="24" t="s">
        <v>114</v>
      </c>
      <c r="I16" s="24">
        <v>185</v>
      </c>
      <c r="J16" s="24">
        <v>111</v>
      </c>
      <c r="K16" s="24" t="s">
        <v>43</v>
      </c>
      <c r="L16" s="24" t="s">
        <v>251</v>
      </c>
      <c r="M16" s="24" t="s">
        <v>252</v>
      </c>
      <c r="N16" s="26" t="s">
        <v>30</v>
      </c>
      <c r="O16" s="26" t="s">
        <v>30</v>
      </c>
      <c r="P16" s="26" t="str">
        <f>IF(NOT("https://maps.app.goo.gl/pHxLANYNf5vhEM3m9" = ""), HYPERLINK("https://maps.app.goo.gl/pHxLANYNf5vhEM3m9", "موقع"), "")</f>
        <v>موقع</v>
      </c>
      <c r="Q16" s="24">
        <v>52000</v>
      </c>
      <c r="R16" s="26" t="str">
        <f t="shared" si="0"/>
        <v>تقديم طلب</v>
      </c>
      <c r="S16" s="32" t="s">
        <v>3988</v>
      </c>
    </row>
    <row r="17" spans="1:19" s="23" customFormat="1" ht="105" x14ac:dyDescent="0.3">
      <c r="A17" s="24" t="s">
        <v>253</v>
      </c>
      <c r="B17" s="25" t="s">
        <v>21</v>
      </c>
      <c r="C17" s="24" t="s">
        <v>59</v>
      </c>
      <c r="D17" s="24" t="s">
        <v>23</v>
      </c>
      <c r="E17" s="24" t="s">
        <v>24</v>
      </c>
      <c r="F17" s="24" t="s">
        <v>25</v>
      </c>
      <c r="G17" s="24" t="s">
        <v>224</v>
      </c>
      <c r="H17" s="24" t="s">
        <v>254</v>
      </c>
      <c r="I17" s="24">
        <v>842</v>
      </c>
      <c r="J17" s="24">
        <v>132</v>
      </c>
      <c r="K17" s="24" t="s">
        <v>55</v>
      </c>
      <c r="L17" s="24" t="s">
        <v>255</v>
      </c>
      <c r="M17" s="24" t="s">
        <v>256</v>
      </c>
      <c r="N17" s="26" t="str">
        <f>IF(NOT("https://youtu.be/beTr7DsGWVw" = ""), HYPERLINK("https://youtu.be/beTr7DsGWVw", "فيديو"), "")</f>
        <v>فيديو</v>
      </c>
      <c r="O17" s="26" t="str">
        <f>IF(NOT("https://truemarkets3d.net/3d-virtual-tour/housingbank-realestate/phase3/aq-re-100661/index.html" = ""), HYPERLINK("https://truemarkets3d.net/3d-virtual-tour/housingbank-realestate/phase3/aq-re-100661/index.html", "جولة"), "")</f>
        <v>جولة</v>
      </c>
      <c r="P17" s="26" t="str">
        <f>IF(NOT("https://maps.app.goo.gl/pGAVMdEPoCjS4GaAA" = ""), HYPERLINK("https://maps.app.goo.gl/pGAVMdEPoCjS4GaAA", "موقع"), "")</f>
        <v>موقع</v>
      </c>
      <c r="Q17" s="24">
        <v>52000</v>
      </c>
      <c r="R17" s="26" t="str">
        <f t="shared" si="0"/>
        <v>تقديم طلب</v>
      </c>
      <c r="S17" s="32" t="s">
        <v>3989</v>
      </c>
    </row>
    <row r="18" spans="1:19" s="23" customFormat="1" ht="90" x14ac:dyDescent="0.3">
      <c r="A18" s="24" t="s">
        <v>244</v>
      </c>
      <c r="B18" s="25" t="s">
        <v>21</v>
      </c>
      <c r="C18" s="24" t="s">
        <v>59</v>
      </c>
      <c r="D18" s="24" t="s">
        <v>23</v>
      </c>
      <c r="E18" s="24" t="s">
        <v>24</v>
      </c>
      <c r="F18" s="24" t="s">
        <v>245</v>
      </c>
      <c r="G18" s="24" t="s">
        <v>246</v>
      </c>
      <c r="H18" s="24" t="s">
        <v>247</v>
      </c>
      <c r="I18" s="24">
        <v>374</v>
      </c>
      <c r="J18" s="24">
        <v>101</v>
      </c>
      <c r="K18" s="24" t="s">
        <v>28</v>
      </c>
      <c r="L18" s="24" t="s">
        <v>160</v>
      </c>
      <c r="M18" s="24" t="s">
        <v>248</v>
      </c>
      <c r="N18" s="26" t="s">
        <v>30</v>
      </c>
      <c r="O18" s="26" t="str">
        <f>IF(NOT("https://truemarkets3d.net/3d-virtual-tour/housingbank-realestate/phase3/aq-re-100295/index.html" = ""), HYPERLINK("https://truemarkets3d.net/3d-virtual-tour/housingbank-realestate/phase3/aq-re-100295/index.html", "جولة"), "")</f>
        <v>جولة</v>
      </c>
      <c r="P18" s="26" t="str">
        <f>IF(NOT("https://maps.app.goo.gl/7D3fSWHtsXY6KeNr8" = ""), HYPERLINK("https://maps.app.goo.gl/7D3fSWHtsXY6KeNr8", "موقع"), "")</f>
        <v>موقع</v>
      </c>
      <c r="Q18" s="24">
        <v>49000</v>
      </c>
      <c r="R18" s="26" t="str">
        <f t="shared" si="0"/>
        <v>تقديم طلب</v>
      </c>
      <c r="S18" s="32" t="s">
        <v>3990</v>
      </c>
    </row>
    <row r="19" spans="1:19" s="23" customFormat="1" ht="90" x14ac:dyDescent="0.3">
      <c r="A19" s="24" t="s">
        <v>238</v>
      </c>
      <c r="B19" s="25" t="s">
        <v>21</v>
      </c>
      <c r="C19" s="24" t="s">
        <v>59</v>
      </c>
      <c r="D19" s="24" t="s">
        <v>23</v>
      </c>
      <c r="E19" s="24" t="s">
        <v>24</v>
      </c>
      <c r="F19" s="24" t="s">
        <v>112</v>
      </c>
      <c r="G19" s="24" t="s">
        <v>228</v>
      </c>
      <c r="H19" s="24" t="s">
        <v>114</v>
      </c>
      <c r="I19" s="24">
        <v>349</v>
      </c>
      <c r="J19" s="24">
        <v>132</v>
      </c>
      <c r="K19" s="24" t="s">
        <v>55</v>
      </c>
      <c r="L19" s="24" t="s">
        <v>239</v>
      </c>
      <c r="M19" s="24" t="s">
        <v>240</v>
      </c>
      <c r="N19" s="26" t="s">
        <v>30</v>
      </c>
      <c r="O19" s="26" t="s">
        <v>30</v>
      </c>
      <c r="P19" s="26" t="str">
        <f>IF(NOT("https://maps.app.goo.gl/f5s35FVrWbP37fTZ6" = ""), HYPERLINK("https://maps.app.goo.gl/f5s35FVrWbP37fTZ6", "موقع"), "")</f>
        <v>موقع</v>
      </c>
      <c r="Q19" s="24">
        <v>46000</v>
      </c>
      <c r="R19" s="26" t="str">
        <f t="shared" si="0"/>
        <v>تقديم طلب</v>
      </c>
      <c r="S19" s="32" t="s">
        <v>3991</v>
      </c>
    </row>
    <row r="20" spans="1:19" s="23" customFormat="1" ht="90" x14ac:dyDescent="0.3">
      <c r="A20" s="24" t="s">
        <v>241</v>
      </c>
      <c r="B20" s="25" t="s">
        <v>21</v>
      </c>
      <c r="C20" s="24" t="s">
        <v>59</v>
      </c>
      <c r="D20" s="24" t="s">
        <v>23</v>
      </c>
      <c r="E20" s="24" t="s">
        <v>24</v>
      </c>
      <c r="F20" s="24" t="s">
        <v>25</v>
      </c>
      <c r="G20" s="24" t="s">
        <v>242</v>
      </c>
      <c r="H20" s="24" t="s">
        <v>172</v>
      </c>
      <c r="I20" s="24">
        <v>305</v>
      </c>
      <c r="J20" s="24">
        <v>131</v>
      </c>
      <c r="K20" s="24" t="s">
        <v>55</v>
      </c>
      <c r="L20" s="24" t="s">
        <v>160</v>
      </c>
      <c r="M20" s="24" t="s">
        <v>243</v>
      </c>
      <c r="N20" s="26" t="s">
        <v>30</v>
      </c>
      <c r="O20" s="26" t="s">
        <v>30</v>
      </c>
      <c r="P20" s="26" t="str">
        <f>IF(NOT("https://maps.app.goo.gl/vHFYZFYjc8xbosCz7" = ""), HYPERLINK("https://maps.app.goo.gl/vHFYZFYjc8xbosCz7", "موقع"), "")</f>
        <v>موقع</v>
      </c>
      <c r="Q20" s="24">
        <v>46000</v>
      </c>
      <c r="R20" s="26" t="str">
        <f t="shared" si="0"/>
        <v>تقديم طلب</v>
      </c>
      <c r="S20" s="32" t="s">
        <v>3992</v>
      </c>
    </row>
    <row r="21" spans="1:19" s="23" customFormat="1" ht="90" x14ac:dyDescent="0.3">
      <c r="A21" s="24" t="s">
        <v>235</v>
      </c>
      <c r="B21" s="25" t="s">
        <v>21</v>
      </c>
      <c r="C21" s="24" t="s">
        <v>59</v>
      </c>
      <c r="D21" s="24" t="s">
        <v>23</v>
      </c>
      <c r="E21" s="24" t="s">
        <v>24</v>
      </c>
      <c r="F21" s="24" t="s">
        <v>112</v>
      </c>
      <c r="G21" s="24" t="s">
        <v>236</v>
      </c>
      <c r="H21" s="24" t="s">
        <v>114</v>
      </c>
      <c r="I21" s="24">
        <v>173</v>
      </c>
      <c r="J21" s="24">
        <v>-102</v>
      </c>
      <c r="K21" s="24" t="s">
        <v>33</v>
      </c>
      <c r="L21" s="24" t="s">
        <v>67</v>
      </c>
      <c r="M21" s="24" t="s">
        <v>237</v>
      </c>
      <c r="N21" s="26" t="s">
        <v>30</v>
      </c>
      <c r="O21" s="26" t="s">
        <v>30</v>
      </c>
      <c r="P21" s="26" t="s">
        <v>30</v>
      </c>
      <c r="Q21" s="24">
        <v>43000</v>
      </c>
      <c r="R21" s="26" t="str">
        <f t="shared" si="0"/>
        <v>تقديم طلب</v>
      </c>
      <c r="S21" s="32" t="s">
        <v>3993</v>
      </c>
    </row>
    <row r="22" spans="1:19" s="23" customFormat="1" ht="90" x14ac:dyDescent="0.3">
      <c r="A22" s="24" t="s">
        <v>227</v>
      </c>
      <c r="B22" s="25" t="s">
        <v>21</v>
      </c>
      <c r="C22" s="24" t="s">
        <v>59</v>
      </c>
      <c r="D22" s="24" t="s">
        <v>23</v>
      </c>
      <c r="E22" s="24" t="s">
        <v>24</v>
      </c>
      <c r="F22" s="24" t="s">
        <v>112</v>
      </c>
      <c r="G22" s="24" t="s">
        <v>228</v>
      </c>
      <c r="H22" s="24" t="s">
        <v>114</v>
      </c>
      <c r="I22" s="24">
        <v>257</v>
      </c>
      <c r="J22" s="24">
        <v>212</v>
      </c>
      <c r="K22" s="24" t="s">
        <v>43</v>
      </c>
      <c r="L22" s="24" t="s">
        <v>229</v>
      </c>
      <c r="M22" s="24" t="s">
        <v>230</v>
      </c>
      <c r="N22" s="26" t="s">
        <v>30</v>
      </c>
      <c r="O22" s="26" t="s">
        <v>30</v>
      </c>
      <c r="P22" s="26" t="str">
        <f>IF(NOT("https://maps.app.goo.gl/uaa27MgRyaTBNXWC6" = ""), HYPERLINK("https://maps.app.goo.gl/uaa27MgRyaTBNXWC6", "موقع"), "")</f>
        <v>موقع</v>
      </c>
      <c r="Q22" s="24">
        <v>42000</v>
      </c>
      <c r="R22" s="26" t="str">
        <f t="shared" si="0"/>
        <v>تقديم طلب</v>
      </c>
      <c r="S22" s="32" t="s">
        <v>3994</v>
      </c>
    </row>
    <row r="23" spans="1:19" s="23" customFormat="1" ht="90" x14ac:dyDescent="0.3">
      <c r="A23" s="24" t="s">
        <v>231</v>
      </c>
      <c r="B23" s="25" t="s">
        <v>21</v>
      </c>
      <c r="C23" s="24" t="s">
        <v>59</v>
      </c>
      <c r="D23" s="24" t="s">
        <v>23</v>
      </c>
      <c r="E23" s="24" t="s">
        <v>24</v>
      </c>
      <c r="F23" s="24" t="s">
        <v>25</v>
      </c>
      <c r="G23" s="24" t="s">
        <v>232</v>
      </c>
      <c r="H23" s="24" t="s">
        <v>190</v>
      </c>
      <c r="I23" s="24">
        <v>625</v>
      </c>
      <c r="J23" s="24">
        <v>132</v>
      </c>
      <c r="K23" s="24" t="s">
        <v>55</v>
      </c>
      <c r="L23" s="24" t="s">
        <v>233</v>
      </c>
      <c r="M23" s="24" t="s">
        <v>234</v>
      </c>
      <c r="N23" s="26" t="s">
        <v>30</v>
      </c>
      <c r="O23" s="26" t="s">
        <v>30</v>
      </c>
      <c r="P23" s="26" t="str">
        <f>IF(NOT("https://maps.app.goo.gl/GAujN5Ln8H6SXLUK6" = ""), HYPERLINK("https://maps.app.goo.gl/GAujN5Ln8H6SXLUK6", "موقع"), "")</f>
        <v>موقع</v>
      </c>
      <c r="Q23" s="24">
        <v>42000</v>
      </c>
      <c r="R23" s="26" t="str">
        <f t="shared" si="0"/>
        <v>تقديم طلب</v>
      </c>
      <c r="S23" s="32" t="s">
        <v>3995</v>
      </c>
    </row>
    <row r="24" spans="1:19" s="23" customFormat="1" ht="90" x14ac:dyDescent="0.3">
      <c r="A24" s="24" t="s">
        <v>223</v>
      </c>
      <c r="B24" s="25" t="s">
        <v>21</v>
      </c>
      <c r="C24" s="24" t="s">
        <v>59</v>
      </c>
      <c r="D24" s="24" t="s">
        <v>23</v>
      </c>
      <c r="E24" s="24" t="s">
        <v>24</v>
      </c>
      <c r="F24" s="24" t="s">
        <v>25</v>
      </c>
      <c r="G24" s="24" t="s">
        <v>224</v>
      </c>
      <c r="H24" s="24" t="s">
        <v>225</v>
      </c>
      <c r="I24" s="24">
        <v>468</v>
      </c>
      <c r="J24" s="24">
        <v>133</v>
      </c>
      <c r="K24" s="24" t="s">
        <v>55</v>
      </c>
      <c r="L24" s="24" t="s">
        <v>121</v>
      </c>
      <c r="M24" s="24" t="s">
        <v>226</v>
      </c>
      <c r="N24" s="26" t="s">
        <v>30</v>
      </c>
      <c r="O24" s="26" t="str">
        <f>IF(NOT("https://truemarkets3d.net/3d-virtual-tour/housingbank-realestate/phase3/aq-re-100296/index.html" = ""), HYPERLINK("https://truemarkets3d.net/3d-virtual-tour/housingbank-realestate/phase3/aq-re-100296/index.html", "جولة"), "")</f>
        <v>جولة</v>
      </c>
      <c r="P24" s="26" t="str">
        <f>IF(NOT("https://maps.app.goo.gl/QtRiHXsHnoZrmjbS7" = ""), HYPERLINK("https://maps.app.goo.gl/QtRiHXsHnoZrmjbS7", "موقع"), "")</f>
        <v>موقع</v>
      </c>
      <c r="Q24" s="24">
        <v>41000</v>
      </c>
      <c r="R24" s="26" t="str">
        <f t="shared" si="0"/>
        <v>تقديم طلب</v>
      </c>
      <c r="S24" s="32" t="s">
        <v>3996</v>
      </c>
    </row>
    <row r="25" spans="1:19" s="23" customFormat="1" ht="90" x14ac:dyDescent="0.3">
      <c r="A25" s="24" t="s">
        <v>221</v>
      </c>
      <c r="B25" s="25" t="s">
        <v>21</v>
      </c>
      <c r="C25" s="24" t="s">
        <v>59</v>
      </c>
      <c r="D25" s="24" t="s">
        <v>23</v>
      </c>
      <c r="E25" s="24" t="s">
        <v>24</v>
      </c>
      <c r="F25" s="24" t="s">
        <v>158</v>
      </c>
      <c r="G25" s="24" t="s">
        <v>159</v>
      </c>
      <c r="H25" s="24" t="s">
        <v>168</v>
      </c>
      <c r="I25" s="24">
        <v>757</v>
      </c>
      <c r="J25" s="24">
        <v>121</v>
      </c>
      <c r="K25" s="24" t="s">
        <v>73</v>
      </c>
      <c r="L25" s="24" t="s">
        <v>160</v>
      </c>
      <c r="M25" s="24" t="s">
        <v>222</v>
      </c>
      <c r="N25" s="26" t="s">
        <v>30</v>
      </c>
      <c r="O25" s="26" t="s">
        <v>30</v>
      </c>
      <c r="P25" s="26" t="str">
        <f>IF(NOT("https://maps.app.goo.gl/v8QHAXyBeqSDBGHJ9" = ""), HYPERLINK("https://maps.app.goo.gl/v8QHAXyBeqSDBGHJ9", "موقع"), "")</f>
        <v>موقع</v>
      </c>
      <c r="Q25" s="24">
        <v>40000</v>
      </c>
      <c r="R25" s="26" t="str">
        <f t="shared" si="0"/>
        <v>تقديم طلب</v>
      </c>
      <c r="S25" s="32" t="s">
        <v>3997</v>
      </c>
    </row>
    <row r="26" spans="1:19" s="23" customFormat="1" ht="90" x14ac:dyDescent="0.3">
      <c r="A26" s="24" t="s">
        <v>218</v>
      </c>
      <c r="B26" s="25" t="s">
        <v>21</v>
      </c>
      <c r="C26" s="24" t="s">
        <v>59</v>
      </c>
      <c r="D26" s="24" t="s">
        <v>23</v>
      </c>
      <c r="E26" s="24" t="s">
        <v>24</v>
      </c>
      <c r="F26" s="24" t="s">
        <v>25</v>
      </c>
      <c r="G26" s="24" t="s">
        <v>178</v>
      </c>
      <c r="H26" s="24" t="s">
        <v>190</v>
      </c>
      <c r="I26" s="24">
        <v>726</v>
      </c>
      <c r="J26" s="24">
        <v>121</v>
      </c>
      <c r="K26" s="24" t="s">
        <v>73</v>
      </c>
      <c r="L26" s="24" t="s">
        <v>219</v>
      </c>
      <c r="M26" s="24" t="s">
        <v>220</v>
      </c>
      <c r="N26" s="26" t="s">
        <v>30</v>
      </c>
      <c r="O26" s="26" t="s">
        <v>30</v>
      </c>
      <c r="P26" s="26" t="str">
        <f>IF(NOT("https://maps.app.goo.gl/36qMcFscNxQ49Z9y9" = ""), HYPERLINK("https://maps.app.goo.gl/36qMcFscNxQ49Z9y9", "موقع"), "")</f>
        <v>موقع</v>
      </c>
      <c r="Q26" s="24">
        <v>39000</v>
      </c>
      <c r="R26" s="26" t="str">
        <f t="shared" si="0"/>
        <v>تقديم طلب</v>
      </c>
      <c r="S26" s="32" t="s">
        <v>3998</v>
      </c>
    </row>
    <row r="27" spans="1:19" s="23" customFormat="1" ht="90" x14ac:dyDescent="0.3">
      <c r="A27" s="24" t="s">
        <v>213</v>
      </c>
      <c r="B27" s="25" t="s">
        <v>21</v>
      </c>
      <c r="C27" s="24" t="s">
        <v>59</v>
      </c>
      <c r="D27" s="24" t="s">
        <v>23</v>
      </c>
      <c r="E27" s="24" t="s">
        <v>24</v>
      </c>
      <c r="F27" s="24" t="s">
        <v>214</v>
      </c>
      <c r="G27" s="24" t="s">
        <v>215</v>
      </c>
      <c r="H27" s="24" t="s">
        <v>154</v>
      </c>
      <c r="I27" s="24">
        <v>803</v>
      </c>
      <c r="J27" s="24">
        <v>121</v>
      </c>
      <c r="K27" s="24" t="s">
        <v>73</v>
      </c>
      <c r="L27" s="24" t="s">
        <v>216</v>
      </c>
      <c r="M27" s="24" t="s">
        <v>217</v>
      </c>
      <c r="N27" s="26" t="s">
        <v>30</v>
      </c>
      <c r="O27" s="26" t="s">
        <v>30</v>
      </c>
      <c r="P27" s="26" t="s">
        <v>30</v>
      </c>
      <c r="Q27" s="24">
        <v>38000</v>
      </c>
      <c r="R27" s="26" t="str">
        <f t="shared" si="0"/>
        <v>تقديم طلب</v>
      </c>
      <c r="S27" s="32" t="s">
        <v>3999</v>
      </c>
    </row>
    <row r="28" spans="1:19" s="23" customFormat="1" ht="90" x14ac:dyDescent="0.3">
      <c r="A28" s="24" t="s">
        <v>201</v>
      </c>
      <c r="B28" s="25" t="s">
        <v>21</v>
      </c>
      <c r="C28" s="24" t="s">
        <v>59</v>
      </c>
      <c r="D28" s="24" t="s">
        <v>23</v>
      </c>
      <c r="E28" s="24" t="s">
        <v>124</v>
      </c>
      <c r="F28" s="24" t="s">
        <v>202</v>
      </c>
      <c r="G28" s="24" t="s">
        <v>203</v>
      </c>
      <c r="H28" s="24" t="s">
        <v>114</v>
      </c>
      <c r="I28" s="24">
        <v>180</v>
      </c>
      <c r="J28" s="24">
        <v>0</v>
      </c>
      <c r="K28" s="24" t="s">
        <v>43</v>
      </c>
      <c r="L28" s="24" t="s">
        <v>204</v>
      </c>
      <c r="M28" s="24" t="s">
        <v>205</v>
      </c>
      <c r="N28" s="26" t="s">
        <v>30</v>
      </c>
      <c r="O28" s="26" t="s">
        <v>30</v>
      </c>
      <c r="P28" s="26" t="str">
        <f>IF(NOT("https://maps.app.goo.gl/dGHq4epphoU5ULie9" = ""), HYPERLINK("https://maps.app.goo.gl/dGHq4epphoU5ULie9", "موقع"), "")</f>
        <v>موقع</v>
      </c>
      <c r="Q28" s="24">
        <v>37000</v>
      </c>
      <c r="R28" s="26" t="str">
        <f t="shared" si="0"/>
        <v>تقديم طلب</v>
      </c>
      <c r="S28" s="32" t="s">
        <v>4000</v>
      </c>
    </row>
    <row r="29" spans="1:19" s="23" customFormat="1" ht="90" x14ac:dyDescent="0.3">
      <c r="A29" s="24" t="s">
        <v>206</v>
      </c>
      <c r="B29" s="25" t="s">
        <v>21</v>
      </c>
      <c r="C29" s="24" t="s">
        <v>59</v>
      </c>
      <c r="D29" s="24" t="s">
        <v>23</v>
      </c>
      <c r="E29" s="24" t="s">
        <v>24</v>
      </c>
      <c r="F29" s="24" t="s">
        <v>25</v>
      </c>
      <c r="G29" s="24" t="s">
        <v>207</v>
      </c>
      <c r="H29" s="24" t="s">
        <v>194</v>
      </c>
      <c r="I29" s="24">
        <v>363</v>
      </c>
      <c r="J29" s="24">
        <v>131</v>
      </c>
      <c r="K29" s="24" t="s">
        <v>55</v>
      </c>
      <c r="L29" s="24" t="s">
        <v>208</v>
      </c>
      <c r="M29" s="24" t="s">
        <v>209</v>
      </c>
      <c r="N29" s="26" t="s">
        <v>30</v>
      </c>
      <c r="O29" s="26" t="s">
        <v>30</v>
      </c>
      <c r="P29" s="26" t="s">
        <v>30</v>
      </c>
      <c r="Q29" s="24">
        <v>37000</v>
      </c>
      <c r="R29" s="26" t="str">
        <f t="shared" si="0"/>
        <v>تقديم طلب</v>
      </c>
      <c r="S29" s="32" t="s">
        <v>4001</v>
      </c>
    </row>
    <row r="30" spans="1:19" s="23" customFormat="1" ht="90" x14ac:dyDescent="0.3">
      <c r="A30" s="24" t="s">
        <v>210</v>
      </c>
      <c r="B30" s="25" t="s">
        <v>21</v>
      </c>
      <c r="C30" s="24" t="s">
        <v>59</v>
      </c>
      <c r="D30" s="24" t="s">
        <v>23</v>
      </c>
      <c r="E30" s="24" t="s">
        <v>24</v>
      </c>
      <c r="F30" s="24" t="s">
        <v>25</v>
      </c>
      <c r="G30" s="24" t="s">
        <v>171</v>
      </c>
      <c r="H30" s="24" t="s">
        <v>172</v>
      </c>
      <c r="I30" s="24">
        <v>1846</v>
      </c>
      <c r="J30" s="24">
        <v>232</v>
      </c>
      <c r="K30" s="24" t="s">
        <v>55</v>
      </c>
      <c r="L30" s="24" t="s">
        <v>211</v>
      </c>
      <c r="M30" s="24" t="s">
        <v>212</v>
      </c>
      <c r="N30" s="26" t="s">
        <v>30</v>
      </c>
      <c r="O30" s="26" t="s">
        <v>30</v>
      </c>
      <c r="P30" s="26" t="str">
        <f>IF(NOT("https://maps.app.goo.gl/TPrXW1EDVQ2waGSw8" = ""), HYPERLINK("https://maps.app.goo.gl/TPrXW1EDVQ2waGSw8", "موقع"), "")</f>
        <v>موقع</v>
      </c>
      <c r="Q30" s="24">
        <v>37000</v>
      </c>
      <c r="R30" s="26" t="str">
        <f t="shared" si="0"/>
        <v>تقديم طلب</v>
      </c>
      <c r="S30" s="32" t="s">
        <v>4002</v>
      </c>
    </row>
    <row r="31" spans="1:19" s="23" customFormat="1" ht="90" x14ac:dyDescent="0.3">
      <c r="A31" s="24" t="s">
        <v>193</v>
      </c>
      <c r="B31" s="25" t="s">
        <v>21</v>
      </c>
      <c r="C31" s="24" t="s">
        <v>59</v>
      </c>
      <c r="D31" s="24" t="s">
        <v>23</v>
      </c>
      <c r="E31" s="24" t="s">
        <v>24</v>
      </c>
      <c r="F31" s="24" t="s">
        <v>25</v>
      </c>
      <c r="G31" s="24" t="s">
        <v>26</v>
      </c>
      <c r="H31" s="24" t="s">
        <v>194</v>
      </c>
      <c r="I31" s="24">
        <v>1492</v>
      </c>
      <c r="J31" s="24">
        <v>211</v>
      </c>
      <c r="K31" s="24" t="s">
        <v>43</v>
      </c>
      <c r="L31" s="24" t="s">
        <v>136</v>
      </c>
      <c r="M31" s="24" t="s">
        <v>195</v>
      </c>
      <c r="N31" s="26" t="s">
        <v>30</v>
      </c>
      <c r="O31" s="26" t="s">
        <v>30</v>
      </c>
      <c r="P31" s="26" t="str">
        <f>IF(NOT("https://maps.app.goo.gl/PqnSnwt8DfiB5KAq9" = ""), HYPERLINK("https://maps.app.goo.gl/PqnSnwt8DfiB5KAq9", "موقع"), "")</f>
        <v>موقع</v>
      </c>
      <c r="Q31" s="24">
        <v>36000</v>
      </c>
      <c r="R31" s="26" t="str">
        <f t="shared" si="0"/>
        <v>تقديم طلب</v>
      </c>
      <c r="S31" s="32" t="s">
        <v>4003</v>
      </c>
    </row>
    <row r="32" spans="1:19" s="23" customFormat="1" ht="90" x14ac:dyDescent="0.3">
      <c r="A32" s="24" t="s">
        <v>196</v>
      </c>
      <c r="B32" s="25" t="s">
        <v>21</v>
      </c>
      <c r="C32" s="24" t="s">
        <v>59</v>
      </c>
      <c r="D32" s="24" t="s">
        <v>23</v>
      </c>
      <c r="E32" s="24" t="s">
        <v>24</v>
      </c>
      <c r="F32" s="24" t="s">
        <v>25</v>
      </c>
      <c r="G32" s="24" t="s">
        <v>163</v>
      </c>
      <c r="H32" s="24" t="s">
        <v>197</v>
      </c>
      <c r="I32" s="24">
        <v>1713</v>
      </c>
      <c r="J32" s="24">
        <v>141</v>
      </c>
      <c r="K32" s="24" t="s">
        <v>198</v>
      </c>
      <c r="L32" s="24" t="s">
        <v>199</v>
      </c>
      <c r="M32" s="24" t="s">
        <v>200</v>
      </c>
      <c r="N32" s="26" t="s">
        <v>30</v>
      </c>
      <c r="O32" s="26" t="s">
        <v>30</v>
      </c>
      <c r="P32" s="26" t="str">
        <f>IF(NOT("https://maps.app.goo.gl/4Un7d65BjFH1Tevo6" = ""), HYPERLINK("https://maps.app.goo.gl/4Un7d65BjFH1Tevo6", "موقع"), "")</f>
        <v>موقع</v>
      </c>
      <c r="Q32" s="24">
        <v>36000</v>
      </c>
      <c r="R32" s="26" t="str">
        <f t="shared" si="0"/>
        <v>تقديم طلب</v>
      </c>
      <c r="S32" s="32" t="s">
        <v>4004</v>
      </c>
    </row>
    <row r="33" spans="1:19" s="23" customFormat="1" ht="90" x14ac:dyDescent="0.3">
      <c r="A33" s="24" t="s">
        <v>177</v>
      </c>
      <c r="B33" s="25" t="s">
        <v>21</v>
      </c>
      <c r="C33" s="24" t="s">
        <v>59</v>
      </c>
      <c r="D33" s="24" t="s">
        <v>23</v>
      </c>
      <c r="E33" s="24" t="s">
        <v>24</v>
      </c>
      <c r="F33" s="24" t="s">
        <v>25</v>
      </c>
      <c r="G33" s="24" t="s">
        <v>178</v>
      </c>
      <c r="H33" s="24" t="s">
        <v>172</v>
      </c>
      <c r="I33" s="24">
        <v>1248</v>
      </c>
      <c r="J33" s="24">
        <v>-102</v>
      </c>
      <c r="K33" s="24" t="s">
        <v>33</v>
      </c>
      <c r="L33" s="24" t="s">
        <v>179</v>
      </c>
      <c r="M33" s="24" t="s">
        <v>180</v>
      </c>
      <c r="N33" s="26" t="s">
        <v>30</v>
      </c>
      <c r="O33" s="26" t="s">
        <v>30</v>
      </c>
      <c r="P33" s="26" t="str">
        <f>IF(NOT("https://maps.app.goo.gl/NsLS8iU65jAWVMjE9" = ""), HYPERLINK("https://maps.app.goo.gl/NsLS8iU65jAWVMjE9", "موقع"), "")</f>
        <v>موقع</v>
      </c>
      <c r="Q33" s="24">
        <v>35000</v>
      </c>
      <c r="R33" s="26" t="str">
        <f t="shared" si="0"/>
        <v>تقديم طلب</v>
      </c>
      <c r="S33" s="32" t="s">
        <v>4005</v>
      </c>
    </row>
    <row r="34" spans="1:19" s="23" customFormat="1" ht="90" x14ac:dyDescent="0.3">
      <c r="A34" s="24" t="s">
        <v>181</v>
      </c>
      <c r="B34" s="25" t="s">
        <v>21</v>
      </c>
      <c r="C34" s="24" t="s">
        <v>59</v>
      </c>
      <c r="D34" s="24" t="s">
        <v>23</v>
      </c>
      <c r="E34" s="24" t="s">
        <v>182</v>
      </c>
      <c r="F34" s="24" t="s">
        <v>183</v>
      </c>
      <c r="G34" s="24" t="s">
        <v>184</v>
      </c>
      <c r="H34" s="24" t="s">
        <v>185</v>
      </c>
      <c r="I34" s="24">
        <v>254</v>
      </c>
      <c r="J34" s="24">
        <v>111</v>
      </c>
      <c r="K34" s="24" t="s">
        <v>43</v>
      </c>
      <c r="L34" s="24" t="s">
        <v>186</v>
      </c>
      <c r="M34" s="24" t="s">
        <v>187</v>
      </c>
      <c r="N34" s="26" t="s">
        <v>30</v>
      </c>
      <c r="O34" s="26" t="s">
        <v>30</v>
      </c>
      <c r="P34" s="26" t="str">
        <f>IF(NOT("https://maps.app.goo.gl/sUx9eLQiJ9ci4AGQ6" = ""), HYPERLINK("https://maps.app.goo.gl/sUx9eLQiJ9ci4AGQ6", "موقع"), "")</f>
        <v>موقع</v>
      </c>
      <c r="Q34" s="24">
        <v>35000</v>
      </c>
      <c r="R34" s="26" t="str">
        <f t="shared" si="0"/>
        <v>تقديم طلب</v>
      </c>
      <c r="S34" s="32" t="s">
        <v>4006</v>
      </c>
    </row>
    <row r="35" spans="1:19" s="23" customFormat="1" ht="90" x14ac:dyDescent="0.3">
      <c r="A35" s="24" t="s">
        <v>188</v>
      </c>
      <c r="B35" s="25" t="s">
        <v>21</v>
      </c>
      <c r="C35" s="24" t="s">
        <v>59</v>
      </c>
      <c r="D35" s="24" t="s">
        <v>23</v>
      </c>
      <c r="E35" s="24" t="s">
        <v>24</v>
      </c>
      <c r="F35" s="24" t="s">
        <v>25</v>
      </c>
      <c r="G35" s="24" t="s">
        <v>189</v>
      </c>
      <c r="H35" s="24" t="s">
        <v>190</v>
      </c>
      <c r="I35" s="24">
        <v>127</v>
      </c>
      <c r="J35" s="24">
        <v>-101</v>
      </c>
      <c r="K35" s="24" t="s">
        <v>33</v>
      </c>
      <c r="L35" s="24" t="s">
        <v>191</v>
      </c>
      <c r="M35" s="24" t="s">
        <v>192</v>
      </c>
      <c r="N35" s="26" t="s">
        <v>30</v>
      </c>
      <c r="O35" s="26" t="str">
        <f>IF(NOT("https://truemarkets3d.net/3d-virtual-tour/housingbank-realestate/phase3/aq-re-100107/index.html" = ""), HYPERLINK("https://truemarkets3d.net/3d-virtual-tour/housingbank-realestate/phase3/aq-re-100107/index.html", "جولة"), "")</f>
        <v>جولة</v>
      </c>
      <c r="P35" s="26" t="str">
        <f>IF(NOT("https://maps.app.goo.gl/UCxzHEFFf2i1wE8n7" = ""), HYPERLINK("https://maps.app.goo.gl/UCxzHEFFf2i1wE8n7", "موقع"), "")</f>
        <v>موقع</v>
      </c>
      <c r="Q35" s="24">
        <v>35000</v>
      </c>
      <c r="R35" s="26" t="str">
        <f t="shared" si="0"/>
        <v>تقديم طلب</v>
      </c>
      <c r="S35" s="32" t="s">
        <v>4007</v>
      </c>
    </row>
    <row r="36" spans="1:19" s="23" customFormat="1" ht="90" x14ac:dyDescent="0.3">
      <c r="A36" s="24" t="s">
        <v>174</v>
      </c>
      <c r="B36" s="25" t="s">
        <v>21</v>
      </c>
      <c r="C36" s="24" t="s">
        <v>59</v>
      </c>
      <c r="D36" s="24" t="s">
        <v>23</v>
      </c>
      <c r="E36" s="24" t="s">
        <v>24</v>
      </c>
      <c r="F36" s="24" t="s">
        <v>25</v>
      </c>
      <c r="G36" s="24" t="s">
        <v>26</v>
      </c>
      <c r="H36" s="24" t="s">
        <v>27</v>
      </c>
      <c r="I36" s="24">
        <v>1492</v>
      </c>
      <c r="J36" s="24">
        <v>232</v>
      </c>
      <c r="K36" s="24" t="s">
        <v>55</v>
      </c>
      <c r="L36" s="24" t="s">
        <v>175</v>
      </c>
      <c r="M36" s="24" t="s">
        <v>176</v>
      </c>
      <c r="N36" s="26" t="s">
        <v>30</v>
      </c>
      <c r="O36" s="26" t="s">
        <v>30</v>
      </c>
      <c r="P36" s="26" t="str">
        <f>IF(NOT("https://maps.app.goo.gl/SB8wU69enw42vbf58" = ""), HYPERLINK("https://maps.app.goo.gl/SB8wU69enw42vbf58", "موقع"), "")</f>
        <v>موقع</v>
      </c>
      <c r="Q36" s="24">
        <v>33000</v>
      </c>
      <c r="R36" s="26" t="str">
        <f t="shared" si="0"/>
        <v>تقديم طلب</v>
      </c>
      <c r="S36" s="32" t="s">
        <v>4008</v>
      </c>
    </row>
    <row r="37" spans="1:19" s="23" customFormat="1" ht="90" x14ac:dyDescent="0.3">
      <c r="A37" s="24" t="s">
        <v>170</v>
      </c>
      <c r="B37" s="25" t="s">
        <v>21</v>
      </c>
      <c r="C37" s="24" t="s">
        <v>59</v>
      </c>
      <c r="D37" s="24" t="s">
        <v>23</v>
      </c>
      <c r="E37" s="24" t="s">
        <v>24</v>
      </c>
      <c r="F37" s="24" t="s">
        <v>25</v>
      </c>
      <c r="G37" s="24" t="s">
        <v>171</v>
      </c>
      <c r="H37" s="24" t="s">
        <v>172</v>
      </c>
      <c r="I37" s="24">
        <v>1843</v>
      </c>
      <c r="J37" s="24">
        <v>201</v>
      </c>
      <c r="K37" s="24" t="s">
        <v>28</v>
      </c>
      <c r="L37" s="24" t="s">
        <v>131</v>
      </c>
      <c r="M37" s="24" t="s">
        <v>173</v>
      </c>
      <c r="N37" s="26" t="s">
        <v>30</v>
      </c>
      <c r="O37" s="26" t="s">
        <v>30</v>
      </c>
      <c r="P37" s="26" t="s">
        <v>30</v>
      </c>
      <c r="Q37" s="24">
        <v>31000</v>
      </c>
      <c r="R37" s="26" t="str">
        <f t="shared" si="0"/>
        <v>تقديم طلب</v>
      </c>
      <c r="S37" s="32" t="s">
        <v>4009</v>
      </c>
    </row>
    <row r="38" spans="1:19" s="23" customFormat="1" ht="105" x14ac:dyDescent="0.3">
      <c r="A38" s="24" t="s">
        <v>167</v>
      </c>
      <c r="B38" s="25" t="s">
        <v>21</v>
      </c>
      <c r="C38" s="24" t="s">
        <v>59</v>
      </c>
      <c r="D38" s="24" t="s">
        <v>23</v>
      </c>
      <c r="E38" s="24" t="s">
        <v>24</v>
      </c>
      <c r="F38" s="24" t="s">
        <v>158</v>
      </c>
      <c r="G38" s="24" t="s">
        <v>159</v>
      </c>
      <c r="H38" s="24" t="s">
        <v>168</v>
      </c>
      <c r="I38" s="24">
        <v>757</v>
      </c>
      <c r="J38" s="24">
        <v>132</v>
      </c>
      <c r="K38" s="24" t="s">
        <v>55</v>
      </c>
      <c r="L38" s="24" t="s">
        <v>160</v>
      </c>
      <c r="M38" s="24" t="s">
        <v>169</v>
      </c>
      <c r="N38" s="26" t="str">
        <f>IF(NOT("https://youtu.be/opZG8EsqJq4" = ""), HYPERLINK("https://youtu.be/opZG8EsqJq4", "فيديو"), "")</f>
        <v>فيديو</v>
      </c>
      <c r="O38" s="26" t="str">
        <f>IF(NOT("https://truemarkets3d.net/3d-virtual-tour/housingbank-realestate/phase3/aq-re-100669/index.html" = ""), HYPERLINK("https://truemarkets3d.net/3d-virtual-tour/housingbank-realestate/phase3/aq-re-100669/index.html", "جولة"), "")</f>
        <v>جولة</v>
      </c>
      <c r="P38" s="26" t="str">
        <f>IF(NOT("https://maps.app.goo.gl/VpigZNcwwamvb6Sx5" = ""), HYPERLINK("https://maps.app.goo.gl/VpigZNcwwamvb6Sx5", "موقع"), "")</f>
        <v>موقع</v>
      </c>
      <c r="Q38" s="24">
        <v>30000</v>
      </c>
      <c r="R38" s="26" t="str">
        <f t="shared" si="0"/>
        <v>تقديم طلب</v>
      </c>
      <c r="S38" s="32" t="s">
        <v>4010</v>
      </c>
    </row>
    <row r="39" spans="1:19" s="23" customFormat="1" ht="90" x14ac:dyDescent="0.3">
      <c r="A39" s="24" t="s">
        <v>162</v>
      </c>
      <c r="B39" s="25" t="s">
        <v>21</v>
      </c>
      <c r="C39" s="24" t="s">
        <v>59</v>
      </c>
      <c r="D39" s="24" t="s">
        <v>23</v>
      </c>
      <c r="E39" s="24" t="s">
        <v>24</v>
      </c>
      <c r="F39" s="24" t="s">
        <v>25</v>
      </c>
      <c r="G39" s="24" t="s">
        <v>163</v>
      </c>
      <c r="H39" s="24" t="s">
        <v>164</v>
      </c>
      <c r="I39" s="24">
        <v>1158</v>
      </c>
      <c r="J39" s="24">
        <v>132</v>
      </c>
      <c r="K39" s="24" t="s">
        <v>55</v>
      </c>
      <c r="L39" s="24" t="s">
        <v>165</v>
      </c>
      <c r="M39" s="24" t="s">
        <v>166</v>
      </c>
      <c r="N39" s="26" t="s">
        <v>30</v>
      </c>
      <c r="O39" s="26" t="s">
        <v>30</v>
      </c>
      <c r="P39" s="26" t="str">
        <f>IF(NOT("https://maps.app.goo.gl/L5sfg8uGv3JRWrX9A" = ""), HYPERLINK("https://maps.app.goo.gl/L5sfg8uGv3JRWrX9A", "موقع"), "")</f>
        <v>موقع</v>
      </c>
      <c r="Q39" s="24">
        <v>29000</v>
      </c>
      <c r="R39" s="26" t="str">
        <f t="shared" si="0"/>
        <v>تقديم طلب</v>
      </c>
      <c r="S39" s="32" t="s">
        <v>4011</v>
      </c>
    </row>
    <row r="40" spans="1:19" s="23" customFormat="1" ht="90" x14ac:dyDescent="0.3">
      <c r="A40" s="24" t="s">
        <v>157</v>
      </c>
      <c r="B40" s="25" t="s">
        <v>21</v>
      </c>
      <c r="C40" s="24" t="s">
        <v>59</v>
      </c>
      <c r="D40" s="24" t="s">
        <v>23</v>
      </c>
      <c r="E40" s="24" t="s">
        <v>24</v>
      </c>
      <c r="F40" s="24" t="s">
        <v>158</v>
      </c>
      <c r="G40" s="24" t="s">
        <v>159</v>
      </c>
      <c r="H40" s="24" t="s">
        <v>154</v>
      </c>
      <c r="I40" s="24">
        <v>757</v>
      </c>
      <c r="J40" s="24">
        <v>-112</v>
      </c>
      <c r="K40" s="24" t="s">
        <v>33</v>
      </c>
      <c r="L40" s="24" t="s">
        <v>160</v>
      </c>
      <c r="M40" s="24" t="s">
        <v>161</v>
      </c>
      <c r="N40" s="26" t="s">
        <v>30</v>
      </c>
      <c r="O40" s="26" t="s">
        <v>30</v>
      </c>
      <c r="P40" s="26" t="s">
        <v>30</v>
      </c>
      <c r="Q40" s="24">
        <v>27000</v>
      </c>
      <c r="R40" s="26" t="str">
        <f t="shared" si="0"/>
        <v>تقديم طلب</v>
      </c>
      <c r="S40" s="32" t="s">
        <v>4012</v>
      </c>
    </row>
    <row r="41" spans="1:19" s="23" customFormat="1" ht="90" x14ac:dyDescent="0.3">
      <c r="A41" s="24" t="s">
        <v>152</v>
      </c>
      <c r="B41" s="25" t="s">
        <v>21</v>
      </c>
      <c r="C41" s="24" t="s">
        <v>59</v>
      </c>
      <c r="D41" s="24" t="s">
        <v>23</v>
      </c>
      <c r="E41" s="24" t="s">
        <v>24</v>
      </c>
      <c r="F41" s="24" t="s">
        <v>25</v>
      </c>
      <c r="G41" s="24" t="s">
        <v>153</v>
      </c>
      <c r="H41" s="24" t="s">
        <v>154</v>
      </c>
      <c r="I41" s="24">
        <v>973</v>
      </c>
      <c r="J41" s="24">
        <v>131</v>
      </c>
      <c r="K41" s="24" t="s">
        <v>55</v>
      </c>
      <c r="L41" s="24" t="s">
        <v>155</v>
      </c>
      <c r="M41" s="24" t="s">
        <v>156</v>
      </c>
      <c r="N41" s="26" t="s">
        <v>30</v>
      </c>
      <c r="O41" s="26" t="s">
        <v>30</v>
      </c>
      <c r="P41" s="26" t="str">
        <f>IF(NOT("https://maps.app.goo.gl/XxBa8rnSbA42apRNA" = ""), HYPERLINK("https://maps.app.goo.gl/XxBa8rnSbA42apRNA", "موقع"), "")</f>
        <v>موقع</v>
      </c>
      <c r="Q41" s="24">
        <v>23000</v>
      </c>
      <c r="R41" s="26" t="str">
        <f t="shared" si="0"/>
        <v>تقديم طلب</v>
      </c>
      <c r="S41" s="32" t="s">
        <v>4013</v>
      </c>
    </row>
    <row r="42" spans="1:19" s="23" customFormat="1" ht="90" x14ac:dyDescent="0.3">
      <c r="A42" s="24" t="s">
        <v>146</v>
      </c>
      <c r="B42" s="25" t="s">
        <v>21</v>
      </c>
      <c r="C42" s="24" t="s">
        <v>59</v>
      </c>
      <c r="D42" s="24" t="s">
        <v>23</v>
      </c>
      <c r="E42" s="24" t="s">
        <v>24</v>
      </c>
      <c r="F42" s="24" t="s">
        <v>60</v>
      </c>
      <c r="G42" s="24" t="s">
        <v>147</v>
      </c>
      <c r="H42" s="24" t="s">
        <v>62</v>
      </c>
      <c r="I42" s="24">
        <v>251</v>
      </c>
      <c r="J42" s="24">
        <v>121</v>
      </c>
      <c r="K42" s="24" t="s">
        <v>73</v>
      </c>
      <c r="L42" s="24" t="s">
        <v>148</v>
      </c>
      <c r="M42" s="24" t="s">
        <v>149</v>
      </c>
      <c r="N42" s="26" t="s">
        <v>30</v>
      </c>
      <c r="O42" s="26" t="s">
        <v>30</v>
      </c>
      <c r="P42" s="26" t="str">
        <f>IF(NOT("https://maps.app.goo.gl/8CfoQbUqLcogbtar5" = ""), HYPERLINK("https://maps.app.goo.gl/8CfoQbUqLcogbtar5", "موقع"), "")</f>
        <v>موقع</v>
      </c>
      <c r="Q42" s="24">
        <v>21000</v>
      </c>
      <c r="R42" s="26" t="str">
        <f t="shared" si="0"/>
        <v>تقديم طلب</v>
      </c>
      <c r="S42" s="32" t="s">
        <v>4014</v>
      </c>
    </row>
    <row r="43" spans="1:19" s="23" customFormat="1" ht="90" x14ac:dyDescent="0.3">
      <c r="A43" s="24" t="s">
        <v>150</v>
      </c>
      <c r="B43" s="25" t="s">
        <v>21</v>
      </c>
      <c r="C43" s="24" t="s">
        <v>59</v>
      </c>
      <c r="D43" s="24" t="s">
        <v>23</v>
      </c>
      <c r="E43" s="24" t="s">
        <v>24</v>
      </c>
      <c r="F43" s="24" t="s">
        <v>70</v>
      </c>
      <c r="G43" s="24" t="s">
        <v>84</v>
      </c>
      <c r="H43" s="24" t="s">
        <v>72</v>
      </c>
      <c r="I43" s="24">
        <v>136</v>
      </c>
      <c r="J43" s="24">
        <v>121</v>
      </c>
      <c r="K43" s="24" t="s">
        <v>73</v>
      </c>
      <c r="L43" s="24" t="s">
        <v>131</v>
      </c>
      <c r="M43" s="24" t="s">
        <v>151</v>
      </c>
      <c r="N43" s="26" t="s">
        <v>30</v>
      </c>
      <c r="O43" s="26" t="s">
        <v>30</v>
      </c>
      <c r="P43" s="26" t="str">
        <f>IF(NOT("https://maps.app.goo.gl/ivM51wLEkSgrXEZZ8" = ""), HYPERLINK("https://maps.app.goo.gl/ivM51wLEkSgrXEZZ8", "موقع"), "")</f>
        <v>موقع</v>
      </c>
      <c r="Q43" s="24">
        <v>21000</v>
      </c>
      <c r="R43" s="26" t="str">
        <f t="shared" si="0"/>
        <v>تقديم طلب</v>
      </c>
      <c r="S43" s="32" t="s">
        <v>4015</v>
      </c>
    </row>
    <row r="44" spans="1:19" s="23" customFormat="1" ht="90" x14ac:dyDescent="0.3">
      <c r="A44" s="24" t="s">
        <v>141</v>
      </c>
      <c r="B44" s="25" t="s">
        <v>21</v>
      </c>
      <c r="C44" s="24" t="s">
        <v>59</v>
      </c>
      <c r="D44" s="24" t="s">
        <v>23</v>
      </c>
      <c r="E44" s="24" t="s">
        <v>24</v>
      </c>
      <c r="F44" s="24" t="s">
        <v>142</v>
      </c>
      <c r="G44" s="24" t="s">
        <v>143</v>
      </c>
      <c r="H44" s="24" t="s">
        <v>144</v>
      </c>
      <c r="I44" s="24">
        <v>489</v>
      </c>
      <c r="J44" s="24">
        <v>101</v>
      </c>
      <c r="K44" s="24" t="s">
        <v>28</v>
      </c>
      <c r="L44" s="24" t="s">
        <v>131</v>
      </c>
      <c r="M44" s="24" t="s">
        <v>145</v>
      </c>
      <c r="N44" s="26" t="s">
        <v>30</v>
      </c>
      <c r="O44" s="26" t="s">
        <v>30</v>
      </c>
      <c r="P44" s="26" t="s">
        <v>30</v>
      </c>
      <c r="Q44" s="24">
        <v>20000</v>
      </c>
      <c r="R44" s="26" t="str">
        <f t="shared" si="0"/>
        <v>تقديم طلب</v>
      </c>
      <c r="S44" s="32" t="s">
        <v>4016</v>
      </c>
    </row>
    <row r="45" spans="1:19" s="23" customFormat="1" ht="90" x14ac:dyDescent="0.3">
      <c r="A45" s="24" t="s">
        <v>133</v>
      </c>
      <c r="B45" s="25" t="s">
        <v>21</v>
      </c>
      <c r="C45" s="24" t="s">
        <v>59</v>
      </c>
      <c r="D45" s="24" t="s">
        <v>23</v>
      </c>
      <c r="E45" s="24" t="s">
        <v>24</v>
      </c>
      <c r="F45" s="24" t="s">
        <v>25</v>
      </c>
      <c r="G45" s="24" t="s">
        <v>134</v>
      </c>
      <c r="H45" s="24" t="s">
        <v>135</v>
      </c>
      <c r="I45" s="24">
        <v>978</v>
      </c>
      <c r="J45" s="24">
        <v>131</v>
      </c>
      <c r="K45" s="24" t="s">
        <v>55</v>
      </c>
      <c r="L45" s="24" t="s">
        <v>136</v>
      </c>
      <c r="M45" s="24" t="s">
        <v>137</v>
      </c>
      <c r="N45" s="26" t="s">
        <v>30</v>
      </c>
      <c r="O45" s="26" t="s">
        <v>30</v>
      </c>
      <c r="P45" s="26" t="str">
        <f>IF(NOT("https://maps.app.goo.gl/qcJ3aB7TRQRtsns16" = ""), HYPERLINK("https://maps.app.goo.gl/qcJ3aB7TRQRtsns16", "موقع"), "")</f>
        <v>موقع</v>
      </c>
      <c r="Q45" s="24">
        <v>19000</v>
      </c>
      <c r="R45" s="26" t="str">
        <f t="shared" si="0"/>
        <v>تقديم طلب</v>
      </c>
      <c r="S45" s="32" t="s">
        <v>4017</v>
      </c>
    </row>
    <row r="46" spans="1:19" s="23" customFormat="1" ht="90" x14ac:dyDescent="0.3">
      <c r="A46" s="24" t="s">
        <v>138</v>
      </c>
      <c r="B46" s="25" t="s">
        <v>21</v>
      </c>
      <c r="C46" s="24" t="s">
        <v>59</v>
      </c>
      <c r="D46" s="24" t="s">
        <v>23</v>
      </c>
      <c r="E46" s="24" t="s">
        <v>24</v>
      </c>
      <c r="F46" s="24" t="s">
        <v>70</v>
      </c>
      <c r="G46" s="24" t="s">
        <v>84</v>
      </c>
      <c r="H46" s="24" t="s">
        <v>72</v>
      </c>
      <c r="I46" s="24">
        <v>142</v>
      </c>
      <c r="J46" s="24">
        <v>111</v>
      </c>
      <c r="K46" s="24" t="s">
        <v>43</v>
      </c>
      <c r="L46" s="24" t="s">
        <v>139</v>
      </c>
      <c r="M46" s="24" t="s">
        <v>140</v>
      </c>
      <c r="N46" s="26" t="s">
        <v>30</v>
      </c>
      <c r="O46" s="26" t="s">
        <v>30</v>
      </c>
      <c r="P46" s="26" t="str">
        <f>IF(NOT("https://maps.app.goo.gl/nxs148FYHskVkgr49" = ""), HYPERLINK("https://maps.app.goo.gl/nxs148FYHskVkgr49", "موقع"), "")</f>
        <v>موقع</v>
      </c>
      <c r="Q46" s="24">
        <v>19000</v>
      </c>
      <c r="R46" s="26" t="str">
        <f t="shared" si="0"/>
        <v>تقديم طلب</v>
      </c>
      <c r="S46" s="32" t="s">
        <v>4018</v>
      </c>
    </row>
    <row r="47" spans="1:19" s="23" customFormat="1" ht="90" x14ac:dyDescent="0.3">
      <c r="A47" s="24" t="s">
        <v>111</v>
      </c>
      <c r="B47" s="25" t="s">
        <v>21</v>
      </c>
      <c r="C47" s="24" t="s">
        <v>59</v>
      </c>
      <c r="D47" s="24" t="s">
        <v>23</v>
      </c>
      <c r="E47" s="24" t="s">
        <v>24</v>
      </c>
      <c r="F47" s="24" t="s">
        <v>112</v>
      </c>
      <c r="G47" s="24" t="s">
        <v>113</v>
      </c>
      <c r="H47" s="24" t="s">
        <v>114</v>
      </c>
      <c r="I47" s="24">
        <v>1061</v>
      </c>
      <c r="J47" s="24">
        <v>121</v>
      </c>
      <c r="K47" s="24" t="s">
        <v>73</v>
      </c>
      <c r="L47" s="24" t="s">
        <v>115</v>
      </c>
      <c r="M47" s="24" t="s">
        <v>116</v>
      </c>
      <c r="N47" s="26" t="s">
        <v>30</v>
      </c>
      <c r="O47" s="26" t="s">
        <v>30</v>
      </c>
      <c r="P47" s="26" t="str">
        <f>IF(NOT("https://maps.app.goo.gl/fZNY8kEBaL8shcWo6" = ""), HYPERLINK("https://maps.app.goo.gl/fZNY8kEBaL8shcWo6", "موقع"), "")</f>
        <v>موقع</v>
      </c>
      <c r="Q47" s="24">
        <v>17000</v>
      </c>
      <c r="R47" s="26" t="str">
        <f t="shared" si="0"/>
        <v>تقديم طلب</v>
      </c>
      <c r="S47" s="32" t="s">
        <v>4019</v>
      </c>
    </row>
    <row r="48" spans="1:19" s="23" customFormat="1" ht="90" x14ac:dyDescent="0.3">
      <c r="A48" s="24" t="s">
        <v>117</v>
      </c>
      <c r="B48" s="25" t="s">
        <v>21</v>
      </c>
      <c r="C48" s="24" t="s">
        <v>59</v>
      </c>
      <c r="D48" s="24" t="s">
        <v>23</v>
      </c>
      <c r="E48" s="24" t="s">
        <v>24</v>
      </c>
      <c r="F48" s="24" t="s">
        <v>118</v>
      </c>
      <c r="G48" s="24" t="s">
        <v>119</v>
      </c>
      <c r="H48" s="24" t="s">
        <v>120</v>
      </c>
      <c r="I48" s="24">
        <v>708</v>
      </c>
      <c r="J48" s="24">
        <v>103</v>
      </c>
      <c r="K48" s="24" t="s">
        <v>28</v>
      </c>
      <c r="L48" s="24" t="s">
        <v>121</v>
      </c>
      <c r="M48" s="24" t="s">
        <v>122</v>
      </c>
      <c r="N48" s="26" t="s">
        <v>30</v>
      </c>
      <c r="O48" s="26" t="s">
        <v>30</v>
      </c>
      <c r="P48" s="26" t="str">
        <f>IF(NOT("https://maps.app.goo.gl/5WPQMJjorRyZDxdY6" = ""), HYPERLINK("https://maps.app.goo.gl/5WPQMJjorRyZDxdY6", "موقع"), "")</f>
        <v>موقع</v>
      </c>
      <c r="Q48" s="24">
        <v>17000</v>
      </c>
      <c r="R48" s="26" t="str">
        <f t="shared" si="0"/>
        <v>تقديم طلب</v>
      </c>
      <c r="S48" s="32" t="s">
        <v>4020</v>
      </c>
    </row>
    <row r="49" spans="1:19" s="23" customFormat="1" ht="90" x14ac:dyDescent="0.3">
      <c r="A49" s="24" t="s">
        <v>123</v>
      </c>
      <c r="B49" s="25" t="s">
        <v>21</v>
      </c>
      <c r="C49" s="24" t="s">
        <v>59</v>
      </c>
      <c r="D49" s="24" t="s">
        <v>23</v>
      </c>
      <c r="E49" s="24" t="s">
        <v>124</v>
      </c>
      <c r="F49" s="24" t="s">
        <v>125</v>
      </c>
      <c r="G49" s="24" t="s">
        <v>126</v>
      </c>
      <c r="H49" s="24" t="s">
        <v>127</v>
      </c>
      <c r="I49" s="24">
        <v>39</v>
      </c>
      <c r="J49" s="24">
        <v>111</v>
      </c>
      <c r="K49" s="24" t="s">
        <v>43</v>
      </c>
      <c r="L49" s="24" t="s">
        <v>128</v>
      </c>
      <c r="M49" s="24" t="s">
        <v>129</v>
      </c>
      <c r="N49" s="26" t="s">
        <v>30</v>
      </c>
      <c r="O49" s="26" t="s">
        <v>30</v>
      </c>
      <c r="P49" s="26" t="str">
        <f>IF(NOT("https://maps.app.goo.gl/Ynh1ckaYSg13YR5B6" = ""), HYPERLINK("https://maps.app.goo.gl/Ynh1ckaYSg13YR5B6", "موقع"), "")</f>
        <v>موقع</v>
      </c>
      <c r="Q49" s="24">
        <v>17000</v>
      </c>
      <c r="R49" s="26" t="str">
        <f t="shared" si="0"/>
        <v>تقديم طلب</v>
      </c>
      <c r="S49" s="32" t="s">
        <v>4021</v>
      </c>
    </row>
    <row r="50" spans="1:19" s="23" customFormat="1" ht="90" x14ac:dyDescent="0.3">
      <c r="A50" s="24" t="s">
        <v>130</v>
      </c>
      <c r="B50" s="25" t="s">
        <v>21</v>
      </c>
      <c r="C50" s="24" t="s">
        <v>59</v>
      </c>
      <c r="D50" s="24" t="s">
        <v>23</v>
      </c>
      <c r="E50" s="24" t="s">
        <v>24</v>
      </c>
      <c r="F50" s="24" t="s">
        <v>70</v>
      </c>
      <c r="G50" s="24" t="s">
        <v>84</v>
      </c>
      <c r="H50" s="24" t="s">
        <v>72</v>
      </c>
      <c r="I50" s="24">
        <v>136</v>
      </c>
      <c r="J50" s="24">
        <v>111</v>
      </c>
      <c r="K50" s="24" t="s">
        <v>43</v>
      </c>
      <c r="L50" s="24" t="s">
        <v>131</v>
      </c>
      <c r="M50" s="24" t="s">
        <v>132</v>
      </c>
      <c r="N50" s="26" t="s">
        <v>30</v>
      </c>
      <c r="O50" s="26" t="s">
        <v>30</v>
      </c>
      <c r="P50" s="26" t="s">
        <v>30</v>
      </c>
      <c r="Q50" s="24">
        <v>17000</v>
      </c>
      <c r="R50" s="26" t="str">
        <f t="shared" si="0"/>
        <v>تقديم طلب</v>
      </c>
      <c r="S50" s="32" t="s">
        <v>4022</v>
      </c>
    </row>
    <row r="51" spans="1:19" s="23" customFormat="1" ht="90" x14ac:dyDescent="0.3">
      <c r="A51" s="24" t="s">
        <v>94</v>
      </c>
      <c r="B51" s="25" t="s">
        <v>21</v>
      </c>
      <c r="C51" s="24" t="s">
        <v>59</v>
      </c>
      <c r="D51" s="24" t="s">
        <v>23</v>
      </c>
      <c r="E51" s="24" t="s">
        <v>24</v>
      </c>
      <c r="F51" s="24" t="s">
        <v>95</v>
      </c>
      <c r="G51" s="24" t="s">
        <v>96</v>
      </c>
      <c r="H51" s="24" t="s">
        <v>97</v>
      </c>
      <c r="I51" s="24">
        <v>194</v>
      </c>
      <c r="J51" s="24">
        <v>101</v>
      </c>
      <c r="K51" s="24" t="s">
        <v>43</v>
      </c>
      <c r="L51" s="24" t="s">
        <v>98</v>
      </c>
      <c r="M51" s="24" t="s">
        <v>99</v>
      </c>
      <c r="N51" s="26" t="s">
        <v>30</v>
      </c>
      <c r="O51" s="26" t="s">
        <v>30</v>
      </c>
      <c r="P51" s="26" t="str">
        <f>IF(NOT("https://maps.app.goo.gl/sUZZ3HjBRZcis2or5" = ""), HYPERLINK("https://maps.app.goo.gl/sUZZ3HjBRZcis2or5", "موقع"), "")</f>
        <v>موقع</v>
      </c>
      <c r="Q51" s="24">
        <v>16000</v>
      </c>
      <c r="R51" s="26" t="str">
        <f t="shared" si="0"/>
        <v>تقديم طلب</v>
      </c>
      <c r="S51" s="32" t="s">
        <v>4023</v>
      </c>
    </row>
    <row r="52" spans="1:19" s="23" customFormat="1" ht="90" x14ac:dyDescent="0.3">
      <c r="A52" s="24" t="s">
        <v>100</v>
      </c>
      <c r="B52" s="25" t="s">
        <v>21</v>
      </c>
      <c r="C52" s="24" t="s">
        <v>59</v>
      </c>
      <c r="D52" s="24" t="s">
        <v>23</v>
      </c>
      <c r="E52" s="24" t="s">
        <v>24</v>
      </c>
      <c r="F52" s="24" t="s">
        <v>25</v>
      </c>
      <c r="G52" s="24" t="s">
        <v>101</v>
      </c>
      <c r="H52" s="24" t="s">
        <v>102</v>
      </c>
      <c r="I52" s="24">
        <v>131</v>
      </c>
      <c r="J52" s="24">
        <v>111</v>
      </c>
      <c r="K52" s="24" t="s">
        <v>43</v>
      </c>
      <c r="L52" s="24" t="s">
        <v>103</v>
      </c>
      <c r="M52" s="24" t="s">
        <v>104</v>
      </c>
      <c r="N52" s="26" t="s">
        <v>30</v>
      </c>
      <c r="O52" s="26" t="s">
        <v>30</v>
      </c>
      <c r="P52" s="26" t="str">
        <f>IF(NOT("https://maps.app.goo.gl/7sqfSsirCnZF91UG9" = ""), HYPERLINK("https://maps.app.goo.gl/7sqfSsirCnZF91UG9", "موقع"), "")</f>
        <v>موقع</v>
      </c>
      <c r="Q52" s="24">
        <v>16000</v>
      </c>
      <c r="R52" s="26" t="str">
        <f t="shared" si="0"/>
        <v>تقديم طلب</v>
      </c>
      <c r="S52" s="32" t="s">
        <v>4024</v>
      </c>
    </row>
    <row r="53" spans="1:19" s="23" customFormat="1" ht="90" x14ac:dyDescent="0.3">
      <c r="A53" s="24" t="s">
        <v>105</v>
      </c>
      <c r="B53" s="25" t="s">
        <v>21</v>
      </c>
      <c r="C53" s="24" t="s">
        <v>59</v>
      </c>
      <c r="D53" s="24" t="s">
        <v>23</v>
      </c>
      <c r="E53" s="24" t="s">
        <v>77</v>
      </c>
      <c r="F53" s="24" t="s">
        <v>106</v>
      </c>
      <c r="G53" s="24" t="s">
        <v>107</v>
      </c>
      <c r="H53" s="24" t="s">
        <v>108</v>
      </c>
      <c r="I53" s="24">
        <v>706</v>
      </c>
      <c r="J53" s="24">
        <v>111</v>
      </c>
      <c r="K53" s="24" t="s">
        <v>43</v>
      </c>
      <c r="L53" s="24" t="s">
        <v>109</v>
      </c>
      <c r="M53" s="24" t="s">
        <v>110</v>
      </c>
      <c r="N53" s="26" t="s">
        <v>30</v>
      </c>
      <c r="O53" s="26" t="s">
        <v>30</v>
      </c>
      <c r="P53" s="26" t="str">
        <f>IF(NOT("https://maps.app.goo.gl/mCqyP1zsBZKWR2FD9" = ""), HYPERLINK("https://maps.app.goo.gl/mCqyP1zsBZKWR2FD9", "موقع"), "")</f>
        <v>موقع</v>
      </c>
      <c r="Q53" s="24">
        <v>16000</v>
      </c>
      <c r="R53" s="26" t="str">
        <f t="shared" si="0"/>
        <v>تقديم طلب</v>
      </c>
      <c r="S53" s="32" t="s">
        <v>4025</v>
      </c>
    </row>
    <row r="54" spans="1:19" s="23" customFormat="1" ht="90" x14ac:dyDescent="0.3">
      <c r="A54" s="24" t="s">
        <v>83</v>
      </c>
      <c r="B54" s="25" t="s">
        <v>21</v>
      </c>
      <c r="C54" s="24" t="s">
        <v>59</v>
      </c>
      <c r="D54" s="24" t="s">
        <v>23</v>
      </c>
      <c r="E54" s="24" t="s">
        <v>24</v>
      </c>
      <c r="F54" s="24" t="s">
        <v>70</v>
      </c>
      <c r="G54" s="24" t="s">
        <v>84</v>
      </c>
      <c r="H54" s="24" t="s">
        <v>72</v>
      </c>
      <c r="I54" s="24">
        <v>136</v>
      </c>
      <c r="J54" s="24">
        <v>122</v>
      </c>
      <c r="K54" s="24" t="s">
        <v>73</v>
      </c>
      <c r="L54" s="24" t="s">
        <v>85</v>
      </c>
      <c r="M54" s="24" t="s">
        <v>86</v>
      </c>
      <c r="N54" s="26" t="s">
        <v>30</v>
      </c>
      <c r="O54" s="26" t="s">
        <v>30</v>
      </c>
      <c r="P54" s="26" t="s">
        <v>30</v>
      </c>
      <c r="Q54" s="24">
        <v>14000</v>
      </c>
      <c r="R54" s="26" t="str">
        <f t="shared" si="0"/>
        <v>تقديم طلب</v>
      </c>
      <c r="S54" s="32" t="s">
        <v>4026</v>
      </c>
    </row>
    <row r="55" spans="1:19" s="23" customFormat="1" ht="90" x14ac:dyDescent="0.3">
      <c r="A55" s="24" t="s">
        <v>87</v>
      </c>
      <c r="B55" s="25" t="s">
        <v>21</v>
      </c>
      <c r="C55" s="24" t="s">
        <v>59</v>
      </c>
      <c r="D55" s="24" t="s">
        <v>23</v>
      </c>
      <c r="E55" s="24" t="s">
        <v>88</v>
      </c>
      <c r="F55" s="24" t="s">
        <v>89</v>
      </c>
      <c r="G55" s="24" t="s">
        <v>90</v>
      </c>
      <c r="H55" s="24" t="s">
        <v>91</v>
      </c>
      <c r="I55" s="24">
        <v>782</v>
      </c>
      <c r="J55" s="24">
        <v>-102</v>
      </c>
      <c r="K55" s="24" t="s">
        <v>33</v>
      </c>
      <c r="L55" s="24" t="s">
        <v>92</v>
      </c>
      <c r="M55" s="24" t="s">
        <v>93</v>
      </c>
      <c r="N55" s="26" t="s">
        <v>30</v>
      </c>
      <c r="O55" s="26" t="s">
        <v>30</v>
      </c>
      <c r="P55" s="26" t="str">
        <f>IF(NOT("https://maps.app.goo.gl/4ZeUixs6SEXRqnyr8" = ""), HYPERLINK("https://maps.app.goo.gl/4ZeUixs6SEXRqnyr8", "موقع"), "")</f>
        <v>موقع</v>
      </c>
      <c r="Q55" s="24">
        <v>14000</v>
      </c>
      <c r="R55" s="26" t="str">
        <f t="shared" si="0"/>
        <v>تقديم طلب</v>
      </c>
      <c r="S55" s="32" t="s">
        <v>4027</v>
      </c>
    </row>
    <row r="56" spans="1:19" s="23" customFormat="1" ht="90" x14ac:dyDescent="0.3">
      <c r="A56" s="24" t="s">
        <v>76</v>
      </c>
      <c r="B56" s="25" t="s">
        <v>21</v>
      </c>
      <c r="C56" s="24" t="s">
        <v>59</v>
      </c>
      <c r="D56" s="24" t="s">
        <v>23</v>
      </c>
      <c r="E56" s="24" t="s">
        <v>77</v>
      </c>
      <c r="F56" s="24" t="s">
        <v>78</v>
      </c>
      <c r="G56" s="24" t="s">
        <v>79</v>
      </c>
      <c r="H56" s="24" t="s">
        <v>80</v>
      </c>
      <c r="I56" s="24">
        <v>33</v>
      </c>
      <c r="J56" s="24">
        <v>111</v>
      </c>
      <c r="K56" s="24" t="s">
        <v>43</v>
      </c>
      <c r="L56" s="24" t="s">
        <v>81</v>
      </c>
      <c r="M56" s="24" t="s">
        <v>82</v>
      </c>
      <c r="N56" s="26" t="s">
        <v>30</v>
      </c>
      <c r="O56" s="26" t="s">
        <v>30</v>
      </c>
      <c r="P56" s="26" t="s">
        <v>30</v>
      </c>
      <c r="Q56" s="24">
        <v>12000</v>
      </c>
      <c r="R56" s="26" t="str">
        <f t="shared" si="0"/>
        <v>تقديم طلب</v>
      </c>
      <c r="S56" s="32" t="s">
        <v>4028</v>
      </c>
    </row>
    <row r="57" spans="1:19" s="23" customFormat="1" ht="90" x14ac:dyDescent="0.3">
      <c r="A57" s="24" t="s">
        <v>65</v>
      </c>
      <c r="B57" s="25" t="s">
        <v>21</v>
      </c>
      <c r="C57" s="24" t="s">
        <v>59</v>
      </c>
      <c r="D57" s="24" t="s">
        <v>23</v>
      </c>
      <c r="E57" s="24" t="s">
        <v>24</v>
      </c>
      <c r="F57" s="24" t="s">
        <v>60</v>
      </c>
      <c r="G57" s="24" t="s">
        <v>66</v>
      </c>
      <c r="H57" s="24" t="s">
        <v>62</v>
      </c>
      <c r="I57" s="24">
        <v>2390</v>
      </c>
      <c r="J57" s="24">
        <v>-101</v>
      </c>
      <c r="K57" s="24" t="s">
        <v>33</v>
      </c>
      <c r="L57" s="24" t="s">
        <v>67</v>
      </c>
      <c r="M57" s="24" t="s">
        <v>68</v>
      </c>
      <c r="N57" s="26" t="s">
        <v>30</v>
      </c>
      <c r="O57" s="26" t="s">
        <v>30</v>
      </c>
      <c r="P57" s="26" t="str">
        <f>IF(NOT("https://maps.app.goo.gl/kNwMxKFC2vofNDEx9" = ""), HYPERLINK("https://maps.app.goo.gl/kNwMxKFC2vofNDEx9", "موقع"), "")</f>
        <v>موقع</v>
      </c>
      <c r="Q57" s="24">
        <v>11000</v>
      </c>
      <c r="R57" s="26" t="str">
        <f t="shared" si="0"/>
        <v>تقديم طلب</v>
      </c>
      <c r="S57" s="32" t="s">
        <v>4029</v>
      </c>
    </row>
    <row r="58" spans="1:19" s="23" customFormat="1" ht="90" x14ac:dyDescent="0.3">
      <c r="A58" s="24" t="s">
        <v>69</v>
      </c>
      <c r="B58" s="25" t="s">
        <v>21</v>
      </c>
      <c r="C58" s="24" t="s">
        <v>59</v>
      </c>
      <c r="D58" s="24" t="s">
        <v>23</v>
      </c>
      <c r="E58" s="24" t="s">
        <v>24</v>
      </c>
      <c r="F58" s="24" t="s">
        <v>70</v>
      </c>
      <c r="G58" s="24" t="s">
        <v>71</v>
      </c>
      <c r="H58" s="24" t="s">
        <v>72</v>
      </c>
      <c r="I58" s="24">
        <v>682</v>
      </c>
      <c r="J58" s="24">
        <v>122</v>
      </c>
      <c r="K58" s="24" t="s">
        <v>73</v>
      </c>
      <c r="L58" s="24" t="s">
        <v>74</v>
      </c>
      <c r="M58" s="24" t="s">
        <v>75</v>
      </c>
      <c r="N58" s="26" t="s">
        <v>30</v>
      </c>
      <c r="O58" s="26" t="s">
        <v>30</v>
      </c>
      <c r="P58" s="26" t="s">
        <v>30</v>
      </c>
      <c r="Q58" s="24">
        <v>11000</v>
      </c>
      <c r="R58" s="26" t="str">
        <f t="shared" si="0"/>
        <v>تقديم طلب</v>
      </c>
      <c r="S58" s="32" t="s">
        <v>4030</v>
      </c>
    </row>
    <row r="59" spans="1:19" s="23" customFormat="1" ht="90" x14ac:dyDescent="0.3">
      <c r="A59" s="24" t="s">
        <v>58</v>
      </c>
      <c r="B59" s="25" t="s">
        <v>21</v>
      </c>
      <c r="C59" s="24" t="s">
        <v>59</v>
      </c>
      <c r="D59" s="24" t="s">
        <v>23</v>
      </c>
      <c r="E59" s="24" t="s">
        <v>24</v>
      </c>
      <c r="F59" s="24" t="s">
        <v>60</v>
      </c>
      <c r="G59" s="24" t="s">
        <v>61</v>
      </c>
      <c r="H59" s="24" t="s">
        <v>62</v>
      </c>
      <c r="I59" s="24">
        <v>1842</v>
      </c>
      <c r="J59" s="24">
        <v>-102</v>
      </c>
      <c r="K59" s="24" t="s">
        <v>33</v>
      </c>
      <c r="L59" s="24" t="s">
        <v>63</v>
      </c>
      <c r="M59" s="24" t="s">
        <v>64</v>
      </c>
      <c r="N59" s="26" t="s">
        <v>30</v>
      </c>
      <c r="O59" s="26" t="s">
        <v>30</v>
      </c>
      <c r="P59" s="26" t="str">
        <f>IF(NOT("https://maps.app.goo.gl/9pCAjbaA9ZKNeSdX7" = ""), HYPERLINK("https://maps.app.goo.gl/9pCAjbaA9ZKNeSdX7", "موقع"), "")</f>
        <v>موقع</v>
      </c>
      <c r="Q59" s="24">
        <v>10000</v>
      </c>
      <c r="R59" s="26" t="str">
        <f t="shared" si="0"/>
        <v>تقديم طلب</v>
      </c>
      <c r="S59" s="32" t="s">
        <v>4031</v>
      </c>
    </row>
    <row r="60" spans="1:19" s="23" customFormat="1" ht="120" x14ac:dyDescent="0.3">
      <c r="A60" s="24" t="s">
        <v>309</v>
      </c>
      <c r="B60" s="25" t="s">
        <v>296</v>
      </c>
      <c r="C60" s="24" t="s">
        <v>297</v>
      </c>
      <c r="D60" s="24" t="s">
        <v>23</v>
      </c>
      <c r="E60" s="24" t="s">
        <v>24</v>
      </c>
      <c r="F60" s="24" t="s">
        <v>60</v>
      </c>
      <c r="G60" s="24" t="s">
        <v>310</v>
      </c>
      <c r="H60" s="24" t="s">
        <v>311</v>
      </c>
      <c r="I60" s="24">
        <v>1137</v>
      </c>
      <c r="J60" s="24">
        <v>0</v>
      </c>
      <c r="K60" s="24"/>
      <c r="L60" s="24" t="s">
        <v>312</v>
      </c>
      <c r="M60" s="24" t="s">
        <v>313</v>
      </c>
      <c r="N60" s="26" t="s">
        <v>30</v>
      </c>
      <c r="O60" s="26" t="s">
        <v>30</v>
      </c>
      <c r="P60" s="26" t="str">
        <f>IF(NOT("https://maps.app.goo.gl/ukgkGoMS5VNkiF4s5" = ""), HYPERLINK("https://maps.app.goo.gl/ukgkGoMS5VNkiF4s5", "موقع"), "")</f>
        <v>موقع</v>
      </c>
      <c r="Q60" s="24">
        <v>482000</v>
      </c>
      <c r="R60" s="26" t="str">
        <f t="shared" si="0"/>
        <v>تقديم طلب</v>
      </c>
      <c r="S60" s="32" t="s">
        <v>4032</v>
      </c>
    </row>
    <row r="61" spans="1:19" s="23" customFormat="1" ht="90" x14ac:dyDescent="0.3">
      <c r="A61" s="24" t="s">
        <v>303</v>
      </c>
      <c r="B61" s="25" t="s">
        <v>296</v>
      </c>
      <c r="C61" s="24" t="s">
        <v>297</v>
      </c>
      <c r="D61" s="24" t="s">
        <v>23</v>
      </c>
      <c r="E61" s="24" t="s">
        <v>182</v>
      </c>
      <c r="F61" s="24" t="s">
        <v>304</v>
      </c>
      <c r="G61" s="24" t="s">
        <v>305</v>
      </c>
      <c r="H61" s="24" t="s">
        <v>306</v>
      </c>
      <c r="I61" s="24">
        <v>222</v>
      </c>
      <c r="J61" s="24">
        <v>0</v>
      </c>
      <c r="K61" s="24"/>
      <c r="L61" s="24" t="s">
        <v>307</v>
      </c>
      <c r="M61" s="24" t="s">
        <v>308</v>
      </c>
      <c r="N61" s="26" t="s">
        <v>30</v>
      </c>
      <c r="O61" s="26" t="s">
        <v>30</v>
      </c>
      <c r="P61" s="26" t="str">
        <f>IF(NOT("https://maps.app.goo.gl/VBdXXByHUnzCPgCt9" = ""), HYPERLINK("https://maps.app.goo.gl/VBdXXByHUnzCPgCt9", "موقع"), "")</f>
        <v>موقع</v>
      </c>
      <c r="Q61" s="24">
        <v>139000</v>
      </c>
      <c r="R61" s="26" t="str">
        <f t="shared" si="0"/>
        <v>تقديم طلب</v>
      </c>
      <c r="S61" s="32" t="s">
        <v>4033</v>
      </c>
    </row>
    <row r="62" spans="1:19" s="23" customFormat="1" ht="150" x14ac:dyDescent="0.3">
      <c r="A62" s="24" t="s">
        <v>295</v>
      </c>
      <c r="B62" s="25" t="s">
        <v>296</v>
      </c>
      <c r="C62" s="24" t="s">
        <v>297</v>
      </c>
      <c r="D62" s="24" t="s">
        <v>23</v>
      </c>
      <c r="E62" s="24" t="s">
        <v>88</v>
      </c>
      <c r="F62" s="24" t="s">
        <v>298</v>
      </c>
      <c r="G62" s="24" t="s">
        <v>299</v>
      </c>
      <c r="H62" s="24" t="s">
        <v>300</v>
      </c>
      <c r="I62" s="24">
        <v>452</v>
      </c>
      <c r="J62" s="24">
        <v>0</v>
      </c>
      <c r="K62" s="24"/>
      <c r="L62" s="24" t="s">
        <v>301</v>
      </c>
      <c r="M62" s="24" t="s">
        <v>302</v>
      </c>
      <c r="N62" s="26" t="s">
        <v>30</v>
      </c>
      <c r="O62" s="26" t="s">
        <v>30</v>
      </c>
      <c r="P62" s="26" t="str">
        <f>IF(NOT("https://maps.app.goo.gl/8Ujsip4rf9woKEHE7" = ""), HYPERLINK("https://maps.app.goo.gl/8Ujsip4rf9woKEHE7", "موقع"), "")</f>
        <v>موقع</v>
      </c>
      <c r="Q62" s="24">
        <v>116000</v>
      </c>
      <c r="R62" s="26" t="str">
        <f t="shared" si="0"/>
        <v>تقديم طلب</v>
      </c>
      <c r="S62" s="32" t="s">
        <v>4034</v>
      </c>
    </row>
    <row r="63" spans="1:19" s="23" customFormat="1" ht="90" x14ac:dyDescent="0.3">
      <c r="A63" s="24" t="s">
        <v>428</v>
      </c>
      <c r="B63" s="25" t="s">
        <v>296</v>
      </c>
      <c r="C63" s="24" t="s">
        <v>315</v>
      </c>
      <c r="D63" s="24" t="s">
        <v>23</v>
      </c>
      <c r="E63" s="24" t="s">
        <v>182</v>
      </c>
      <c r="F63" s="24" t="s">
        <v>304</v>
      </c>
      <c r="G63" s="24" t="s">
        <v>429</v>
      </c>
      <c r="H63" s="24" t="s">
        <v>306</v>
      </c>
      <c r="I63" s="24">
        <v>171</v>
      </c>
      <c r="J63" s="24">
        <v>0</v>
      </c>
      <c r="K63" s="24"/>
      <c r="L63" s="24" t="s">
        <v>430</v>
      </c>
      <c r="M63" s="24" t="s">
        <v>431</v>
      </c>
      <c r="N63" s="26" t="s">
        <v>30</v>
      </c>
      <c r="O63" s="26" t="s">
        <v>30</v>
      </c>
      <c r="P63" s="26" t="str">
        <f>IF(NOT("https://maps.app.goo.gl/UgNCnG7BSRKgpzCo9" = ""), HYPERLINK("https://maps.app.goo.gl/UgNCnG7BSRKgpzCo9", "موقع"), "")</f>
        <v>موقع</v>
      </c>
      <c r="Q63" s="24">
        <v>702000</v>
      </c>
      <c r="R63" s="26" t="str">
        <f t="shared" si="0"/>
        <v>تقديم طلب</v>
      </c>
      <c r="S63" s="32" t="s">
        <v>4035</v>
      </c>
    </row>
    <row r="64" spans="1:19" s="23" customFormat="1" ht="90" x14ac:dyDescent="0.3">
      <c r="A64" s="24" t="s">
        <v>424</v>
      </c>
      <c r="B64" s="25" t="s">
        <v>296</v>
      </c>
      <c r="C64" s="24" t="s">
        <v>315</v>
      </c>
      <c r="D64" s="24" t="s">
        <v>23</v>
      </c>
      <c r="E64" s="24" t="s">
        <v>24</v>
      </c>
      <c r="F64" s="24" t="s">
        <v>25</v>
      </c>
      <c r="G64" s="24" t="s">
        <v>232</v>
      </c>
      <c r="H64" s="24" t="s">
        <v>425</v>
      </c>
      <c r="I64" s="24">
        <v>916</v>
      </c>
      <c r="J64" s="24">
        <v>0</v>
      </c>
      <c r="K64" s="24"/>
      <c r="L64" s="24" t="s">
        <v>426</v>
      </c>
      <c r="M64" s="24" t="s">
        <v>427</v>
      </c>
      <c r="N64" s="26" t="s">
        <v>30</v>
      </c>
      <c r="O64" s="26" t="str">
        <f>IF(NOT("https://truemarkets3d.net/3d-virtual-tour/housingbank-realestate/phase3/aq-bld-100175/index.html" = ""), HYPERLINK("https://truemarkets3d.net/3d-virtual-tour/housingbank-realestate/phase3/aq-bld-100175/index.html", "جولة"), "")</f>
        <v>جولة</v>
      </c>
      <c r="P64" s="26" t="str">
        <f>IF(NOT("https://maps.app.goo.gl/7mzbgBp7QAgt2Bbo8" = ""), HYPERLINK("https://maps.app.goo.gl/7mzbgBp7QAgt2Bbo8", "موقع"), "")</f>
        <v>موقع</v>
      </c>
      <c r="Q64" s="24">
        <v>321000</v>
      </c>
      <c r="R64" s="26" t="str">
        <f t="shared" si="0"/>
        <v>تقديم طلب</v>
      </c>
      <c r="S64" s="32" t="s">
        <v>4036</v>
      </c>
    </row>
    <row r="65" spans="1:19" s="23" customFormat="1" ht="105" x14ac:dyDescent="0.3">
      <c r="A65" s="24" t="s">
        <v>420</v>
      </c>
      <c r="B65" s="25" t="s">
        <v>296</v>
      </c>
      <c r="C65" s="24" t="s">
        <v>315</v>
      </c>
      <c r="D65" s="24" t="s">
        <v>23</v>
      </c>
      <c r="E65" s="24" t="s">
        <v>24</v>
      </c>
      <c r="F65" s="24" t="s">
        <v>214</v>
      </c>
      <c r="G65" s="24" t="s">
        <v>421</v>
      </c>
      <c r="H65" s="24" t="s">
        <v>154</v>
      </c>
      <c r="I65" s="24">
        <v>752</v>
      </c>
      <c r="J65" s="24">
        <v>0</v>
      </c>
      <c r="K65" s="24"/>
      <c r="L65" s="24" t="s">
        <v>422</v>
      </c>
      <c r="M65" s="24" t="s">
        <v>423</v>
      </c>
      <c r="N65" s="26" t="s">
        <v>30</v>
      </c>
      <c r="O65" s="26" t="s">
        <v>30</v>
      </c>
      <c r="P65" s="26" t="s">
        <v>30</v>
      </c>
      <c r="Q65" s="24">
        <v>231000</v>
      </c>
      <c r="R65" s="26" t="str">
        <f t="shared" si="0"/>
        <v>تقديم طلب</v>
      </c>
      <c r="S65" s="32" t="s">
        <v>4037</v>
      </c>
    </row>
    <row r="66" spans="1:19" s="23" customFormat="1" ht="240" x14ac:dyDescent="0.3">
      <c r="A66" s="24" t="s">
        <v>416</v>
      </c>
      <c r="B66" s="25" t="s">
        <v>296</v>
      </c>
      <c r="C66" s="24" t="s">
        <v>315</v>
      </c>
      <c r="D66" s="24" t="s">
        <v>23</v>
      </c>
      <c r="E66" s="24" t="s">
        <v>182</v>
      </c>
      <c r="F66" s="24" t="s">
        <v>304</v>
      </c>
      <c r="G66" s="24" t="s">
        <v>417</v>
      </c>
      <c r="H66" s="24" t="s">
        <v>306</v>
      </c>
      <c r="I66" s="24">
        <v>573</v>
      </c>
      <c r="J66" s="24">
        <v>0</v>
      </c>
      <c r="K66" s="24"/>
      <c r="L66" s="24" t="s">
        <v>418</v>
      </c>
      <c r="M66" s="24" t="s">
        <v>419</v>
      </c>
      <c r="N66" s="26" t="s">
        <v>30</v>
      </c>
      <c r="O66" s="26" t="s">
        <v>30</v>
      </c>
      <c r="P66" s="26" t="str">
        <f>IF(NOT("https://maps.app.goo.gl/yDfoGpQw5inuowEEA" = ""), HYPERLINK("https://maps.app.goo.gl/yDfoGpQw5inuowEEA", "موقع"), "")</f>
        <v>موقع</v>
      </c>
      <c r="Q66" s="24">
        <v>185000</v>
      </c>
      <c r="R66" s="26" t="str">
        <f t="shared" si="0"/>
        <v>تقديم طلب</v>
      </c>
      <c r="S66" s="32" t="s">
        <v>4038</v>
      </c>
    </row>
    <row r="67" spans="1:19" s="23" customFormat="1" ht="105" x14ac:dyDescent="0.3">
      <c r="A67" s="24" t="s">
        <v>406</v>
      </c>
      <c r="B67" s="25" t="s">
        <v>296</v>
      </c>
      <c r="C67" s="24" t="s">
        <v>315</v>
      </c>
      <c r="D67" s="24" t="s">
        <v>23</v>
      </c>
      <c r="E67" s="24" t="s">
        <v>24</v>
      </c>
      <c r="F67" s="24" t="s">
        <v>25</v>
      </c>
      <c r="G67" s="24" t="s">
        <v>163</v>
      </c>
      <c r="H67" s="24" t="s">
        <v>164</v>
      </c>
      <c r="I67" s="24">
        <v>725</v>
      </c>
      <c r="J67" s="24">
        <v>0</v>
      </c>
      <c r="K67" s="24"/>
      <c r="L67" s="24" t="s">
        <v>407</v>
      </c>
      <c r="M67" s="24" t="s">
        <v>408</v>
      </c>
      <c r="N67" s="26" t="s">
        <v>30</v>
      </c>
      <c r="O67" s="26" t="s">
        <v>30</v>
      </c>
      <c r="P67" s="26" t="str">
        <f>IF(NOT("https://maps.app.goo.gl/Ajg2cXekAKXmXFrH7" = ""), HYPERLINK("https://maps.app.goo.gl/Ajg2cXekAKXmXFrH7", "موقع"), "")</f>
        <v>موقع</v>
      </c>
      <c r="Q67" s="24">
        <v>118000</v>
      </c>
      <c r="R67" s="26" t="str">
        <f t="shared" si="0"/>
        <v>تقديم طلب</v>
      </c>
      <c r="S67" s="32" t="s">
        <v>4039</v>
      </c>
    </row>
    <row r="68" spans="1:19" s="23" customFormat="1" ht="90" x14ac:dyDescent="0.3">
      <c r="A68" s="24" t="s">
        <v>409</v>
      </c>
      <c r="B68" s="25" t="s">
        <v>296</v>
      </c>
      <c r="C68" s="24" t="s">
        <v>315</v>
      </c>
      <c r="D68" s="24" t="s">
        <v>23</v>
      </c>
      <c r="E68" s="24" t="s">
        <v>410</v>
      </c>
      <c r="F68" s="24" t="s">
        <v>411</v>
      </c>
      <c r="G68" s="24" t="s">
        <v>412</v>
      </c>
      <c r="H68" s="24" t="s">
        <v>413</v>
      </c>
      <c r="I68" s="24">
        <v>361</v>
      </c>
      <c r="J68" s="24">
        <v>0</v>
      </c>
      <c r="K68" s="24"/>
      <c r="L68" s="24" t="s">
        <v>414</v>
      </c>
      <c r="M68" s="24" t="s">
        <v>415</v>
      </c>
      <c r="N68" s="26" t="s">
        <v>30</v>
      </c>
      <c r="O68" s="26" t="s">
        <v>30</v>
      </c>
      <c r="P68" s="26" t="str">
        <f>IF(NOT("https://maps.app.goo.gl/nseKLKQLmz7rJbWt8" = ""), HYPERLINK("https://maps.app.goo.gl/nseKLKQLmz7rJbWt8", "موقع"), "")</f>
        <v>موقع</v>
      </c>
      <c r="Q68" s="24">
        <v>118000</v>
      </c>
      <c r="R68" s="26" t="str">
        <f t="shared" si="0"/>
        <v>تقديم طلب</v>
      </c>
      <c r="S68" s="32" t="s">
        <v>4040</v>
      </c>
    </row>
    <row r="69" spans="1:19" s="23" customFormat="1" ht="135" x14ac:dyDescent="0.3">
      <c r="A69" s="24" t="s">
        <v>403</v>
      </c>
      <c r="B69" s="25" t="s">
        <v>296</v>
      </c>
      <c r="C69" s="24" t="s">
        <v>315</v>
      </c>
      <c r="D69" s="24" t="s">
        <v>23</v>
      </c>
      <c r="E69" s="24" t="s">
        <v>24</v>
      </c>
      <c r="F69" s="24" t="s">
        <v>25</v>
      </c>
      <c r="G69" s="24" t="s">
        <v>270</v>
      </c>
      <c r="H69" s="24" t="s">
        <v>27</v>
      </c>
      <c r="I69" s="24">
        <v>1180</v>
      </c>
      <c r="J69" s="24">
        <v>0</v>
      </c>
      <c r="K69" s="24"/>
      <c r="L69" s="24" t="s">
        <v>404</v>
      </c>
      <c r="M69" s="24" t="s">
        <v>405</v>
      </c>
      <c r="N69" s="26" t="s">
        <v>30</v>
      </c>
      <c r="O69" s="26" t="s">
        <v>30</v>
      </c>
      <c r="P69" s="26" t="str">
        <f>IF(NOT("https://maps.app.goo.gl/nkSWqjCQP3hoZy576" = ""), HYPERLINK("https://maps.app.goo.gl/nkSWqjCQP3hoZy576", "موقع"), "")</f>
        <v>موقع</v>
      </c>
      <c r="Q69" s="24">
        <v>105000</v>
      </c>
      <c r="R69" s="26" t="str">
        <f t="shared" ref="R69:R132" si="1">HYPERLINK(S69,"تقديم طلب")</f>
        <v>تقديم طلب</v>
      </c>
      <c r="S69" s="32" t="s">
        <v>4041</v>
      </c>
    </row>
    <row r="70" spans="1:19" s="23" customFormat="1" ht="150" x14ac:dyDescent="0.3">
      <c r="A70" s="24" t="s">
        <v>397</v>
      </c>
      <c r="B70" s="25" t="s">
        <v>296</v>
      </c>
      <c r="C70" s="24" t="s">
        <v>315</v>
      </c>
      <c r="D70" s="24" t="s">
        <v>23</v>
      </c>
      <c r="E70" s="24" t="s">
        <v>124</v>
      </c>
      <c r="F70" s="24" t="s">
        <v>398</v>
      </c>
      <c r="G70" s="24" t="s">
        <v>399</v>
      </c>
      <c r="H70" s="24" t="s">
        <v>400</v>
      </c>
      <c r="I70" s="24">
        <v>74</v>
      </c>
      <c r="J70" s="24">
        <v>0</v>
      </c>
      <c r="K70" s="24"/>
      <c r="L70" s="24" t="s">
        <v>401</v>
      </c>
      <c r="M70" s="24" t="s">
        <v>402</v>
      </c>
      <c r="N70" s="26" t="s">
        <v>30</v>
      </c>
      <c r="O70" s="26" t="s">
        <v>30</v>
      </c>
      <c r="P70" s="26" t="s">
        <v>30</v>
      </c>
      <c r="Q70" s="24">
        <v>97000</v>
      </c>
      <c r="R70" s="26" t="str">
        <f t="shared" si="1"/>
        <v>تقديم طلب</v>
      </c>
      <c r="S70" s="32" t="s">
        <v>4042</v>
      </c>
    </row>
    <row r="71" spans="1:19" s="23" customFormat="1" ht="90" x14ac:dyDescent="0.3">
      <c r="A71" s="24" t="s">
        <v>394</v>
      </c>
      <c r="B71" s="25" t="s">
        <v>296</v>
      </c>
      <c r="C71" s="24" t="s">
        <v>315</v>
      </c>
      <c r="D71" s="24" t="s">
        <v>23</v>
      </c>
      <c r="E71" s="24" t="s">
        <v>24</v>
      </c>
      <c r="F71" s="24" t="s">
        <v>245</v>
      </c>
      <c r="G71" s="24" t="s">
        <v>288</v>
      </c>
      <c r="H71" s="24" t="s">
        <v>247</v>
      </c>
      <c r="I71" s="24">
        <v>823</v>
      </c>
      <c r="J71" s="24">
        <v>0</v>
      </c>
      <c r="K71" s="24"/>
      <c r="L71" s="24" t="s">
        <v>395</v>
      </c>
      <c r="M71" s="24" t="s">
        <v>396</v>
      </c>
      <c r="N71" s="26" t="s">
        <v>30</v>
      </c>
      <c r="O71" s="26" t="s">
        <v>30</v>
      </c>
      <c r="P71" s="26" t="str">
        <f>IF(NOT("https://maps.app.goo.gl/STWRURofdNRi6aNY7" = ""), HYPERLINK("https://maps.app.goo.gl/STWRURofdNRi6aNY7", "موقع"), "")</f>
        <v>موقع</v>
      </c>
      <c r="Q71" s="24">
        <v>92000</v>
      </c>
      <c r="R71" s="26" t="str">
        <f t="shared" si="1"/>
        <v>تقديم طلب</v>
      </c>
      <c r="S71" s="32" t="s">
        <v>4043</v>
      </c>
    </row>
    <row r="72" spans="1:19" s="23" customFormat="1" ht="90" x14ac:dyDescent="0.3">
      <c r="A72" s="24" t="s">
        <v>389</v>
      </c>
      <c r="B72" s="25" t="s">
        <v>296</v>
      </c>
      <c r="C72" s="24" t="s">
        <v>315</v>
      </c>
      <c r="D72" s="24" t="s">
        <v>23</v>
      </c>
      <c r="E72" s="24" t="s">
        <v>182</v>
      </c>
      <c r="F72" s="24" t="s">
        <v>304</v>
      </c>
      <c r="G72" s="24" t="s">
        <v>390</v>
      </c>
      <c r="H72" s="24" t="s">
        <v>391</v>
      </c>
      <c r="I72" s="24">
        <v>43</v>
      </c>
      <c r="J72" s="24">
        <v>0</v>
      </c>
      <c r="K72" s="24"/>
      <c r="L72" s="24" t="s">
        <v>392</v>
      </c>
      <c r="M72" s="24" t="s">
        <v>393</v>
      </c>
      <c r="N72" s="26" t="s">
        <v>30</v>
      </c>
      <c r="O72" s="26" t="s">
        <v>30</v>
      </c>
      <c r="P72" s="26" t="str">
        <f>IF(NOT("https://maps.app.goo.gl/urg1qZ7SUk8YPixh8" = ""), HYPERLINK("https://maps.app.goo.gl/urg1qZ7SUk8YPixh8", "موقع"), "")</f>
        <v>موقع</v>
      </c>
      <c r="Q72" s="24">
        <v>84000</v>
      </c>
      <c r="R72" s="26" t="str">
        <f t="shared" si="1"/>
        <v>تقديم طلب</v>
      </c>
      <c r="S72" s="32" t="s">
        <v>4044</v>
      </c>
    </row>
    <row r="73" spans="1:19" s="23" customFormat="1" ht="105" x14ac:dyDescent="0.3">
      <c r="A73" s="24" t="s">
        <v>384</v>
      </c>
      <c r="B73" s="25" t="s">
        <v>296</v>
      </c>
      <c r="C73" s="24" t="s">
        <v>315</v>
      </c>
      <c r="D73" s="24" t="s">
        <v>23</v>
      </c>
      <c r="E73" s="24" t="s">
        <v>51</v>
      </c>
      <c r="F73" s="24" t="s">
        <v>385</v>
      </c>
      <c r="G73" s="24" t="s">
        <v>203</v>
      </c>
      <c r="H73" s="24" t="s">
        <v>386</v>
      </c>
      <c r="I73" s="24">
        <v>189</v>
      </c>
      <c r="J73" s="24">
        <v>0</v>
      </c>
      <c r="K73" s="24"/>
      <c r="L73" s="24" t="s">
        <v>387</v>
      </c>
      <c r="M73" s="24" t="s">
        <v>388</v>
      </c>
      <c r="N73" s="26" t="s">
        <v>30</v>
      </c>
      <c r="O73" s="26" t="s">
        <v>30</v>
      </c>
      <c r="P73" s="26" t="str">
        <f>IF(NOT("https://maps.app.goo.gl/TX9RM4fY2Q5KGYjk8" = ""), HYPERLINK("https://maps.app.goo.gl/TX9RM4fY2Q5KGYjk8", "موقع"), "")</f>
        <v>موقع</v>
      </c>
      <c r="Q73" s="24">
        <v>77000</v>
      </c>
      <c r="R73" s="26" t="str">
        <f t="shared" si="1"/>
        <v>تقديم طلب</v>
      </c>
      <c r="S73" s="32" t="s">
        <v>4045</v>
      </c>
    </row>
    <row r="74" spans="1:19" s="23" customFormat="1" ht="90" x14ac:dyDescent="0.3">
      <c r="A74" s="24" t="s">
        <v>380</v>
      </c>
      <c r="B74" s="25" t="s">
        <v>296</v>
      </c>
      <c r="C74" s="24" t="s">
        <v>315</v>
      </c>
      <c r="D74" s="24" t="s">
        <v>23</v>
      </c>
      <c r="E74" s="24" t="s">
        <v>182</v>
      </c>
      <c r="F74" s="24" t="s">
        <v>304</v>
      </c>
      <c r="G74" s="24" t="s">
        <v>381</v>
      </c>
      <c r="H74" s="24" t="s">
        <v>306</v>
      </c>
      <c r="I74" s="24">
        <v>67</v>
      </c>
      <c r="J74" s="24">
        <v>0</v>
      </c>
      <c r="K74" s="24"/>
      <c r="L74" s="24" t="s">
        <v>382</v>
      </c>
      <c r="M74" s="24" t="s">
        <v>383</v>
      </c>
      <c r="N74" s="26" t="s">
        <v>30</v>
      </c>
      <c r="O74" s="26" t="s">
        <v>30</v>
      </c>
      <c r="P74" s="26" t="str">
        <f>IF(NOT("https://maps.app.goo.gl/rWMU2WF1wwsE75ZF8" = ""), HYPERLINK("https://maps.app.goo.gl/rWMU2WF1wwsE75ZF8", "موقع"), "")</f>
        <v>موقع</v>
      </c>
      <c r="Q74" s="24">
        <v>75000</v>
      </c>
      <c r="R74" s="26" t="str">
        <f t="shared" si="1"/>
        <v>تقديم طلب</v>
      </c>
      <c r="S74" s="32" t="s">
        <v>4046</v>
      </c>
    </row>
    <row r="75" spans="1:19" s="23" customFormat="1" ht="210" x14ac:dyDescent="0.3">
      <c r="A75" s="24" t="s">
        <v>373</v>
      </c>
      <c r="B75" s="25" t="s">
        <v>296</v>
      </c>
      <c r="C75" s="24" t="s">
        <v>315</v>
      </c>
      <c r="D75" s="24" t="s">
        <v>23</v>
      </c>
      <c r="E75" s="24" t="s">
        <v>24</v>
      </c>
      <c r="F75" s="24" t="s">
        <v>349</v>
      </c>
      <c r="G75" s="24" t="s">
        <v>350</v>
      </c>
      <c r="H75" s="24" t="s">
        <v>351</v>
      </c>
      <c r="I75" s="24">
        <v>63</v>
      </c>
      <c r="J75" s="24">
        <v>0</v>
      </c>
      <c r="K75" s="24"/>
      <c r="L75" s="24" t="s">
        <v>374</v>
      </c>
      <c r="M75" s="24" t="s">
        <v>375</v>
      </c>
      <c r="N75" s="26" t="s">
        <v>30</v>
      </c>
      <c r="O75" s="26" t="s">
        <v>30</v>
      </c>
      <c r="P75" s="26" t="str">
        <f>IF(NOT("https://maps.app.goo.gl/DtXyaiEjRb94M7aw7" = ""), HYPERLINK("https://maps.app.goo.gl/DtXyaiEjRb94M7aw7", "موقع"), "")</f>
        <v>موقع</v>
      </c>
      <c r="Q75" s="24">
        <v>55000</v>
      </c>
      <c r="R75" s="26" t="str">
        <f t="shared" si="1"/>
        <v>تقديم طلب</v>
      </c>
      <c r="S75" s="32" t="s">
        <v>4047</v>
      </c>
    </row>
    <row r="76" spans="1:19" s="23" customFormat="1" ht="240" x14ac:dyDescent="0.3">
      <c r="A76" s="24" t="s">
        <v>376</v>
      </c>
      <c r="B76" s="25" t="s">
        <v>296</v>
      </c>
      <c r="C76" s="24" t="s">
        <v>315</v>
      </c>
      <c r="D76" s="24" t="s">
        <v>23</v>
      </c>
      <c r="E76" s="24" t="s">
        <v>24</v>
      </c>
      <c r="F76" s="24" t="s">
        <v>25</v>
      </c>
      <c r="G76" s="24" t="s">
        <v>377</v>
      </c>
      <c r="H76" s="24" t="s">
        <v>361</v>
      </c>
      <c r="I76" s="24">
        <v>1445</v>
      </c>
      <c r="J76" s="24">
        <v>0</v>
      </c>
      <c r="K76" s="24"/>
      <c r="L76" s="24" t="s">
        <v>378</v>
      </c>
      <c r="M76" s="24" t="s">
        <v>379</v>
      </c>
      <c r="N76" s="26" t="s">
        <v>30</v>
      </c>
      <c r="O76" s="26" t="s">
        <v>30</v>
      </c>
      <c r="P76" s="26" t="str">
        <f>IF(NOT("https://maps.app.goo.gl/LzgdCzGhRyhhgWh18" = ""), HYPERLINK("https://maps.app.goo.gl/LzgdCzGhRyhhgWh18", "موقع"), "")</f>
        <v>موقع</v>
      </c>
      <c r="Q76" s="24">
        <v>55000</v>
      </c>
      <c r="R76" s="26" t="str">
        <f t="shared" si="1"/>
        <v>تقديم طلب</v>
      </c>
      <c r="S76" s="32" t="s">
        <v>4048</v>
      </c>
    </row>
    <row r="77" spans="1:19" s="23" customFormat="1" ht="195" x14ac:dyDescent="0.3">
      <c r="A77" s="24" t="s">
        <v>370</v>
      </c>
      <c r="B77" s="25" t="s">
        <v>296</v>
      </c>
      <c r="C77" s="24" t="s">
        <v>315</v>
      </c>
      <c r="D77" s="24" t="s">
        <v>23</v>
      </c>
      <c r="E77" s="24" t="s">
        <v>24</v>
      </c>
      <c r="F77" s="24" t="s">
        <v>60</v>
      </c>
      <c r="G77" s="24" t="s">
        <v>66</v>
      </c>
      <c r="H77" s="24" t="s">
        <v>62</v>
      </c>
      <c r="I77" s="24">
        <v>2453</v>
      </c>
      <c r="J77" s="24">
        <v>0</v>
      </c>
      <c r="K77" s="24"/>
      <c r="L77" s="24" t="s">
        <v>371</v>
      </c>
      <c r="M77" s="24" t="s">
        <v>372</v>
      </c>
      <c r="N77" s="26" t="s">
        <v>30</v>
      </c>
      <c r="O77" s="26" t="s">
        <v>30</v>
      </c>
      <c r="P77" s="26" t="str">
        <f>IF(NOT("https://maps.app.goo.gl/AR3euAiFSyfgJSAs9" = ""), HYPERLINK("https://maps.app.goo.gl/AR3euAiFSyfgJSAs9", "موقع"), "")</f>
        <v>موقع</v>
      </c>
      <c r="Q77" s="24">
        <v>50000</v>
      </c>
      <c r="R77" s="26" t="str">
        <f t="shared" si="1"/>
        <v>تقديم طلب</v>
      </c>
      <c r="S77" s="32" t="s">
        <v>4049</v>
      </c>
    </row>
    <row r="78" spans="1:19" s="23" customFormat="1" ht="210" x14ac:dyDescent="0.3">
      <c r="A78" s="24" t="s">
        <v>364</v>
      </c>
      <c r="B78" s="25" t="s">
        <v>296</v>
      </c>
      <c r="C78" s="24" t="s">
        <v>315</v>
      </c>
      <c r="D78" s="24" t="s">
        <v>23</v>
      </c>
      <c r="E78" s="24" t="s">
        <v>24</v>
      </c>
      <c r="F78" s="24" t="s">
        <v>365</v>
      </c>
      <c r="G78" s="24" t="s">
        <v>366</v>
      </c>
      <c r="H78" s="24" t="s">
        <v>367</v>
      </c>
      <c r="I78" s="24">
        <v>162</v>
      </c>
      <c r="J78" s="24">
        <v>0</v>
      </c>
      <c r="K78" s="24"/>
      <c r="L78" s="24" t="s">
        <v>368</v>
      </c>
      <c r="M78" s="24" t="s">
        <v>369</v>
      </c>
      <c r="N78" s="26" t="s">
        <v>30</v>
      </c>
      <c r="O78" s="26" t="s">
        <v>30</v>
      </c>
      <c r="P78" s="26" t="s">
        <v>30</v>
      </c>
      <c r="Q78" s="24">
        <v>48000</v>
      </c>
      <c r="R78" s="26" t="str">
        <f t="shared" si="1"/>
        <v>تقديم طلب</v>
      </c>
      <c r="S78" s="32" t="s">
        <v>4050</v>
      </c>
    </row>
    <row r="79" spans="1:19" s="23" customFormat="1" ht="105" x14ac:dyDescent="0.3">
      <c r="A79" s="24" t="s">
        <v>360</v>
      </c>
      <c r="B79" s="25" t="s">
        <v>296</v>
      </c>
      <c r="C79" s="24" t="s">
        <v>315</v>
      </c>
      <c r="D79" s="24" t="s">
        <v>23</v>
      </c>
      <c r="E79" s="24" t="s">
        <v>24</v>
      </c>
      <c r="F79" s="24" t="s">
        <v>25</v>
      </c>
      <c r="G79" s="24" t="s">
        <v>134</v>
      </c>
      <c r="H79" s="24" t="s">
        <v>361</v>
      </c>
      <c r="I79" s="24">
        <v>866</v>
      </c>
      <c r="J79" s="24">
        <v>0</v>
      </c>
      <c r="K79" s="24"/>
      <c r="L79" s="24" t="s">
        <v>362</v>
      </c>
      <c r="M79" s="24" t="s">
        <v>363</v>
      </c>
      <c r="N79" s="26" t="s">
        <v>30</v>
      </c>
      <c r="O79" s="26" t="s">
        <v>30</v>
      </c>
      <c r="P79" s="26" t="str">
        <f>IF(NOT("https://maps.app.goo.gl/GXBMJhyKyLMJtcxM7" = ""), HYPERLINK("https://maps.app.goo.gl/GXBMJhyKyLMJtcxM7", "موقع"), "")</f>
        <v>موقع</v>
      </c>
      <c r="Q79" s="24">
        <v>45000</v>
      </c>
      <c r="R79" s="26" t="str">
        <f t="shared" si="1"/>
        <v>تقديم طلب</v>
      </c>
      <c r="S79" s="32" t="s">
        <v>4051</v>
      </c>
    </row>
    <row r="80" spans="1:19" s="23" customFormat="1" ht="195" x14ac:dyDescent="0.3">
      <c r="A80" s="24" t="s">
        <v>357</v>
      </c>
      <c r="B80" s="25" t="s">
        <v>296</v>
      </c>
      <c r="C80" s="24" t="s">
        <v>315</v>
      </c>
      <c r="D80" s="24" t="s">
        <v>23</v>
      </c>
      <c r="E80" s="24" t="s">
        <v>24</v>
      </c>
      <c r="F80" s="24" t="s">
        <v>338</v>
      </c>
      <c r="G80" s="24" t="s">
        <v>119</v>
      </c>
      <c r="H80" s="24" t="s">
        <v>339</v>
      </c>
      <c r="I80" s="24">
        <v>730</v>
      </c>
      <c r="J80" s="24">
        <v>0</v>
      </c>
      <c r="K80" s="24"/>
      <c r="L80" s="24" t="s">
        <v>358</v>
      </c>
      <c r="M80" s="24" t="s">
        <v>359</v>
      </c>
      <c r="N80" s="26" t="s">
        <v>30</v>
      </c>
      <c r="O80" s="26" t="s">
        <v>30</v>
      </c>
      <c r="P80" s="26" t="str">
        <f>IF(NOT("https://maps.app.goo.gl/3iiVvKGC3G4U5yro8" = ""), HYPERLINK("https://maps.app.goo.gl/3iiVvKGC3G4U5yro8", "موقع"), "")</f>
        <v>موقع</v>
      </c>
      <c r="Q80" s="24">
        <v>38000</v>
      </c>
      <c r="R80" s="26" t="str">
        <f t="shared" si="1"/>
        <v>تقديم طلب</v>
      </c>
      <c r="S80" s="32" t="s">
        <v>4052</v>
      </c>
    </row>
    <row r="81" spans="1:19" s="23" customFormat="1" ht="90" x14ac:dyDescent="0.3">
      <c r="A81" s="24" t="s">
        <v>353</v>
      </c>
      <c r="B81" s="25" t="s">
        <v>296</v>
      </c>
      <c r="C81" s="24" t="s">
        <v>315</v>
      </c>
      <c r="D81" s="24" t="s">
        <v>23</v>
      </c>
      <c r="E81" s="24" t="s">
        <v>24</v>
      </c>
      <c r="F81" s="24" t="s">
        <v>245</v>
      </c>
      <c r="G81" s="24" t="s">
        <v>354</v>
      </c>
      <c r="H81" s="24" t="s">
        <v>247</v>
      </c>
      <c r="I81" s="24">
        <v>1237</v>
      </c>
      <c r="J81" s="24">
        <v>0</v>
      </c>
      <c r="K81" s="24"/>
      <c r="L81" s="24" t="s">
        <v>355</v>
      </c>
      <c r="M81" s="24" t="s">
        <v>356</v>
      </c>
      <c r="N81" s="26" t="s">
        <v>30</v>
      </c>
      <c r="O81" s="26" t="s">
        <v>30</v>
      </c>
      <c r="P81" s="26" t="str">
        <f>IF(NOT("https://maps.app.goo.gl/rD2UqL6Pq2Rt6Qo18" = ""), HYPERLINK("https://maps.app.goo.gl/rD2UqL6Pq2Rt6Qo18", "موقع"), "")</f>
        <v>موقع</v>
      </c>
      <c r="Q81" s="24">
        <v>35000</v>
      </c>
      <c r="R81" s="26" t="str">
        <f t="shared" si="1"/>
        <v>تقديم طلب</v>
      </c>
      <c r="S81" s="32" t="s">
        <v>4053</v>
      </c>
    </row>
    <row r="82" spans="1:19" s="23" customFormat="1" ht="180" x14ac:dyDescent="0.3">
      <c r="A82" s="24" t="s">
        <v>348</v>
      </c>
      <c r="B82" s="25" t="s">
        <v>296</v>
      </c>
      <c r="C82" s="24" t="s">
        <v>315</v>
      </c>
      <c r="D82" s="24" t="s">
        <v>23</v>
      </c>
      <c r="E82" s="24" t="s">
        <v>24</v>
      </c>
      <c r="F82" s="24" t="s">
        <v>349</v>
      </c>
      <c r="G82" s="24" t="s">
        <v>350</v>
      </c>
      <c r="H82" s="24" t="s">
        <v>351</v>
      </c>
      <c r="I82" s="24">
        <v>106</v>
      </c>
      <c r="J82" s="24">
        <v>0</v>
      </c>
      <c r="K82" s="24"/>
      <c r="L82" s="24" t="s">
        <v>329</v>
      </c>
      <c r="M82" s="24" t="s">
        <v>352</v>
      </c>
      <c r="N82" s="26" t="s">
        <v>30</v>
      </c>
      <c r="O82" s="26" t="s">
        <v>30</v>
      </c>
      <c r="P82" s="26" t="str">
        <f>IF(NOT("https://maps.app.goo.gl/3msA12hQHzN4nvueA" = ""), HYPERLINK("https://maps.app.goo.gl/3msA12hQHzN4nvueA", "موقع"), "")</f>
        <v>موقع</v>
      </c>
      <c r="Q82" s="24">
        <v>31000</v>
      </c>
      <c r="R82" s="26" t="str">
        <f t="shared" si="1"/>
        <v>تقديم طلب</v>
      </c>
      <c r="S82" s="32" t="s">
        <v>4054</v>
      </c>
    </row>
    <row r="83" spans="1:19" s="23" customFormat="1" ht="195" x14ac:dyDescent="0.3">
      <c r="A83" s="24" t="s">
        <v>342</v>
      </c>
      <c r="B83" s="25" t="s">
        <v>296</v>
      </c>
      <c r="C83" s="24" t="s">
        <v>315</v>
      </c>
      <c r="D83" s="24" t="s">
        <v>23</v>
      </c>
      <c r="E83" s="24" t="s">
        <v>124</v>
      </c>
      <c r="F83" s="24" t="s">
        <v>343</v>
      </c>
      <c r="G83" s="24" t="s">
        <v>344</v>
      </c>
      <c r="H83" s="24" t="s">
        <v>345</v>
      </c>
      <c r="I83" s="24">
        <v>61</v>
      </c>
      <c r="J83" s="24">
        <v>0</v>
      </c>
      <c r="K83" s="24"/>
      <c r="L83" s="24" t="s">
        <v>346</v>
      </c>
      <c r="M83" s="24" t="s">
        <v>347</v>
      </c>
      <c r="N83" s="26" t="s">
        <v>30</v>
      </c>
      <c r="O83" s="26" t="s">
        <v>30</v>
      </c>
      <c r="P83" s="26" t="str">
        <f>IF(NOT("https://maps.app.goo.gl/PkpZhJFrJ1mewJSx8" = ""), HYPERLINK("https://maps.app.goo.gl/PkpZhJFrJ1mewJSx8", "موقع"), "")</f>
        <v>موقع</v>
      </c>
      <c r="Q83" s="24">
        <v>29000</v>
      </c>
      <c r="R83" s="26" t="str">
        <f t="shared" si="1"/>
        <v>تقديم طلب</v>
      </c>
      <c r="S83" s="32" t="s">
        <v>4055</v>
      </c>
    </row>
    <row r="84" spans="1:19" s="23" customFormat="1" ht="210" x14ac:dyDescent="0.3">
      <c r="A84" s="24" t="s">
        <v>337</v>
      </c>
      <c r="B84" s="25" t="s">
        <v>296</v>
      </c>
      <c r="C84" s="24" t="s">
        <v>315</v>
      </c>
      <c r="D84" s="24" t="s">
        <v>23</v>
      </c>
      <c r="E84" s="24" t="s">
        <v>24</v>
      </c>
      <c r="F84" s="24" t="s">
        <v>338</v>
      </c>
      <c r="G84" s="24" t="s">
        <v>119</v>
      </c>
      <c r="H84" s="24" t="s">
        <v>339</v>
      </c>
      <c r="I84" s="24">
        <v>729</v>
      </c>
      <c r="J84" s="24">
        <v>0</v>
      </c>
      <c r="K84" s="24"/>
      <c r="L84" s="24" t="s">
        <v>340</v>
      </c>
      <c r="M84" s="24" t="s">
        <v>341</v>
      </c>
      <c r="N84" s="26" t="s">
        <v>30</v>
      </c>
      <c r="O84" s="26" t="s">
        <v>30</v>
      </c>
      <c r="P84" s="26" t="str">
        <f>IF(NOT("https://maps.app.goo.gl/yrsuFhMg29HqzpgT8" = ""), HYPERLINK("https://maps.app.goo.gl/yrsuFhMg29HqzpgT8", "موقع"), "")</f>
        <v>موقع</v>
      </c>
      <c r="Q84" s="24">
        <v>24000</v>
      </c>
      <c r="R84" s="26" t="str">
        <f t="shared" si="1"/>
        <v>تقديم طلب</v>
      </c>
      <c r="S84" s="32" t="s">
        <v>4056</v>
      </c>
    </row>
    <row r="85" spans="1:19" s="23" customFormat="1" ht="90" x14ac:dyDescent="0.3">
      <c r="A85" s="24" t="s">
        <v>323</v>
      </c>
      <c r="B85" s="25" t="s">
        <v>296</v>
      </c>
      <c r="C85" s="24" t="s">
        <v>315</v>
      </c>
      <c r="D85" s="24" t="s">
        <v>23</v>
      </c>
      <c r="E85" s="24" t="s">
        <v>24</v>
      </c>
      <c r="F85" s="24" t="s">
        <v>324</v>
      </c>
      <c r="G85" s="24" t="s">
        <v>119</v>
      </c>
      <c r="H85" s="24" t="s">
        <v>325</v>
      </c>
      <c r="I85" s="24">
        <v>706</v>
      </c>
      <c r="J85" s="24">
        <v>111</v>
      </c>
      <c r="K85" s="24"/>
      <c r="L85" s="24" t="s">
        <v>294</v>
      </c>
      <c r="M85" s="24" t="s">
        <v>326</v>
      </c>
      <c r="N85" s="26" t="s">
        <v>30</v>
      </c>
      <c r="O85" s="26" t="s">
        <v>30</v>
      </c>
      <c r="P85" s="26" t="s">
        <v>30</v>
      </c>
      <c r="Q85" s="24">
        <v>18000</v>
      </c>
      <c r="R85" s="26" t="str">
        <f t="shared" si="1"/>
        <v>تقديم طلب</v>
      </c>
      <c r="S85" s="32" t="s">
        <v>4057</v>
      </c>
    </row>
    <row r="86" spans="1:19" s="23" customFormat="1" ht="195" x14ac:dyDescent="0.3">
      <c r="A86" s="24" t="s">
        <v>327</v>
      </c>
      <c r="B86" s="25" t="s">
        <v>296</v>
      </c>
      <c r="C86" s="24" t="s">
        <v>315</v>
      </c>
      <c r="D86" s="24" t="s">
        <v>23</v>
      </c>
      <c r="E86" s="24" t="s">
        <v>51</v>
      </c>
      <c r="F86" s="24" t="s">
        <v>328</v>
      </c>
      <c r="G86" s="24" t="s">
        <v>119</v>
      </c>
      <c r="H86" s="24" t="s">
        <v>54</v>
      </c>
      <c r="I86" s="24">
        <v>728</v>
      </c>
      <c r="J86" s="24">
        <v>0</v>
      </c>
      <c r="K86" s="24"/>
      <c r="L86" s="24" t="s">
        <v>329</v>
      </c>
      <c r="M86" s="24" t="s">
        <v>330</v>
      </c>
      <c r="N86" s="26" t="s">
        <v>30</v>
      </c>
      <c r="O86" s="26" t="s">
        <v>30</v>
      </c>
      <c r="P86" s="26" t="str">
        <f>IF(NOT("https://maps.app.goo.gl/GhUogGQa5hb9EAU99" = ""), HYPERLINK("https://maps.app.goo.gl/GhUogGQa5hb9EAU99", "موقع"), "")</f>
        <v>موقع</v>
      </c>
      <c r="Q86" s="24">
        <v>18000</v>
      </c>
      <c r="R86" s="26" t="str">
        <f t="shared" si="1"/>
        <v>تقديم طلب</v>
      </c>
      <c r="S86" s="32" t="s">
        <v>4058</v>
      </c>
    </row>
    <row r="87" spans="1:19" s="23" customFormat="1" ht="285" x14ac:dyDescent="0.3">
      <c r="A87" s="24" t="s">
        <v>331</v>
      </c>
      <c r="B87" s="25" t="s">
        <v>296</v>
      </c>
      <c r="C87" s="24" t="s">
        <v>315</v>
      </c>
      <c r="D87" s="24" t="s">
        <v>23</v>
      </c>
      <c r="E87" s="24" t="s">
        <v>88</v>
      </c>
      <c r="F87" s="24" t="s">
        <v>332</v>
      </c>
      <c r="G87" s="24" t="s">
        <v>333</v>
      </c>
      <c r="H87" s="24" t="s">
        <v>334</v>
      </c>
      <c r="I87" s="24">
        <v>94</v>
      </c>
      <c r="J87" s="24">
        <v>0</v>
      </c>
      <c r="K87" s="24"/>
      <c r="L87" s="24" t="s">
        <v>335</v>
      </c>
      <c r="M87" s="24" t="s">
        <v>336</v>
      </c>
      <c r="N87" s="26" t="s">
        <v>30</v>
      </c>
      <c r="O87" s="26" t="s">
        <v>30</v>
      </c>
      <c r="P87" s="26" t="str">
        <f>IF(NOT("https://maps.app.goo.gl/xfueMc3S6FseMnuQ6" = ""), HYPERLINK("https://maps.app.goo.gl/xfueMc3S6FseMnuQ6", "موقع"), "")</f>
        <v>موقع</v>
      </c>
      <c r="Q87" s="24">
        <v>18000</v>
      </c>
      <c r="R87" s="26" t="str">
        <f t="shared" si="1"/>
        <v>تقديم طلب</v>
      </c>
      <c r="S87" s="32" t="s">
        <v>4059</v>
      </c>
    </row>
    <row r="88" spans="1:19" s="23" customFormat="1" ht="210" x14ac:dyDescent="0.3">
      <c r="A88" s="24" t="s">
        <v>320</v>
      </c>
      <c r="B88" s="25" t="s">
        <v>296</v>
      </c>
      <c r="C88" s="24" t="s">
        <v>315</v>
      </c>
      <c r="D88" s="24" t="s">
        <v>23</v>
      </c>
      <c r="E88" s="24" t="s">
        <v>88</v>
      </c>
      <c r="F88" s="24" t="s">
        <v>298</v>
      </c>
      <c r="G88" s="24" t="s">
        <v>299</v>
      </c>
      <c r="H88" s="24" t="s">
        <v>300</v>
      </c>
      <c r="I88" s="24">
        <v>178</v>
      </c>
      <c r="J88" s="24">
        <v>0</v>
      </c>
      <c r="K88" s="24"/>
      <c r="L88" s="24" t="s">
        <v>321</v>
      </c>
      <c r="M88" s="24" t="s">
        <v>322</v>
      </c>
      <c r="N88" s="26" t="s">
        <v>30</v>
      </c>
      <c r="O88" s="26" t="s">
        <v>30</v>
      </c>
      <c r="P88" s="26" t="str">
        <f>IF(NOT("https://maps.app.goo.gl/7rGV13aQR42sGvbR8" = ""), HYPERLINK("https://maps.app.goo.gl/7rGV13aQR42sGvbR8", "موقع"), "")</f>
        <v>موقع</v>
      </c>
      <c r="Q88" s="24">
        <v>17000</v>
      </c>
      <c r="R88" s="26" t="str">
        <f t="shared" si="1"/>
        <v>تقديم طلب</v>
      </c>
      <c r="S88" s="32" t="s">
        <v>4060</v>
      </c>
    </row>
    <row r="89" spans="1:19" s="23" customFormat="1" ht="300" x14ac:dyDescent="0.3">
      <c r="A89" s="24" t="s">
        <v>314</v>
      </c>
      <c r="B89" s="25" t="s">
        <v>296</v>
      </c>
      <c r="C89" s="24" t="s">
        <v>315</v>
      </c>
      <c r="D89" s="24" t="s">
        <v>23</v>
      </c>
      <c r="E89" s="24" t="s">
        <v>124</v>
      </c>
      <c r="F89" s="24" t="s">
        <v>316</v>
      </c>
      <c r="G89" s="24" t="s">
        <v>119</v>
      </c>
      <c r="H89" s="24" t="s">
        <v>317</v>
      </c>
      <c r="I89" s="24">
        <v>714</v>
      </c>
      <c r="J89" s="24">
        <v>0</v>
      </c>
      <c r="K89" s="24"/>
      <c r="L89" s="24" t="s">
        <v>318</v>
      </c>
      <c r="M89" s="24" t="s">
        <v>319</v>
      </c>
      <c r="N89" s="26" t="s">
        <v>30</v>
      </c>
      <c r="O89" s="26" t="s">
        <v>30</v>
      </c>
      <c r="P89" s="26" t="str">
        <f>IF(NOT("https://maps.app.goo.gl/2UhYhAw9hhAgwC5T9" = ""), HYPERLINK("https://maps.app.goo.gl/2UhYhAw9hhAgwC5T9", "موقع"), "")</f>
        <v>موقع</v>
      </c>
      <c r="Q89" s="24">
        <v>9000</v>
      </c>
      <c r="R89" s="26" t="str">
        <f t="shared" si="1"/>
        <v>تقديم طلب</v>
      </c>
      <c r="S89" s="32" t="s">
        <v>4061</v>
      </c>
    </row>
    <row r="90" spans="1:19" s="23" customFormat="1" ht="90" x14ac:dyDescent="0.3">
      <c r="A90" s="24" t="s">
        <v>450</v>
      </c>
      <c r="B90" s="25" t="s">
        <v>296</v>
      </c>
      <c r="C90" s="24" t="s">
        <v>451</v>
      </c>
      <c r="D90" s="24" t="s">
        <v>23</v>
      </c>
      <c r="E90" s="24" t="s">
        <v>182</v>
      </c>
      <c r="F90" s="24" t="s">
        <v>304</v>
      </c>
      <c r="G90" s="24" t="s">
        <v>441</v>
      </c>
      <c r="H90" s="24" t="s">
        <v>306</v>
      </c>
      <c r="I90" s="24">
        <v>512</v>
      </c>
      <c r="J90" s="24"/>
      <c r="K90" s="24"/>
      <c r="L90" s="24" t="s">
        <v>452</v>
      </c>
      <c r="M90" s="24" t="s">
        <v>453</v>
      </c>
      <c r="N90" s="26" t="s">
        <v>30</v>
      </c>
      <c r="O90" s="26" t="s">
        <v>30</v>
      </c>
      <c r="P90" s="26" t="str">
        <f>IF(NOT("https://maps.app.goo.gl/P22nSAKpY1y173fX9" = ""), HYPERLINK("https://maps.app.goo.gl/P22nSAKpY1y173fX9", "موقع"), "")</f>
        <v>موقع</v>
      </c>
      <c r="Q90" s="24">
        <v>220000</v>
      </c>
      <c r="R90" s="26" t="str">
        <f t="shared" si="1"/>
        <v>تقديم طلب</v>
      </c>
      <c r="S90" s="32" t="s">
        <v>4062</v>
      </c>
    </row>
    <row r="91" spans="1:19" s="23" customFormat="1" ht="120" x14ac:dyDescent="0.3">
      <c r="A91" s="24" t="s">
        <v>462</v>
      </c>
      <c r="B91" s="25" t="s">
        <v>296</v>
      </c>
      <c r="C91" s="24" t="s">
        <v>463</v>
      </c>
      <c r="D91" s="24" t="s">
        <v>23</v>
      </c>
      <c r="E91" s="24" t="s">
        <v>24</v>
      </c>
      <c r="F91" s="24" t="s">
        <v>365</v>
      </c>
      <c r="G91" s="24" t="s">
        <v>464</v>
      </c>
      <c r="H91" s="24" t="s">
        <v>367</v>
      </c>
      <c r="I91" s="24">
        <v>68</v>
      </c>
      <c r="J91" s="24">
        <v>0</v>
      </c>
      <c r="K91" s="24"/>
      <c r="L91" s="24" t="s">
        <v>465</v>
      </c>
      <c r="M91" s="24" t="s">
        <v>466</v>
      </c>
      <c r="N91" s="26" t="s">
        <v>30</v>
      </c>
      <c r="O91" s="26" t="str">
        <f>IF(NOT("https://truemarkets3d.net/3d-virtual-tour/housingbank-realestate/phase3/aq-bld-1002151/index.html" = ""), HYPERLINK("https://truemarkets3d.net/3d-virtual-tour/housingbank-realestate/phase3/aq-bld-1002151/index.html", "جولة"), "")</f>
        <v>جولة</v>
      </c>
      <c r="P91" s="26" t="str">
        <f>IF(NOT("https://maps.app.goo.gl/eBPzDJAw2Gem5hgY8" = ""), HYPERLINK("https://maps.app.goo.gl/eBPzDJAw2Gem5hgY8", "موقع"), "")</f>
        <v>موقع</v>
      </c>
      <c r="Q91" s="24">
        <v>217000</v>
      </c>
      <c r="R91" s="26" t="str">
        <f t="shared" si="1"/>
        <v>تقديم طلب</v>
      </c>
      <c r="S91" s="32" t="s">
        <v>4063</v>
      </c>
    </row>
    <row r="92" spans="1:19" s="23" customFormat="1" ht="120" x14ac:dyDescent="0.3">
      <c r="A92" s="24" t="s">
        <v>501</v>
      </c>
      <c r="B92" s="25" t="s">
        <v>468</v>
      </c>
      <c r="C92" s="24" t="s">
        <v>469</v>
      </c>
      <c r="D92" s="24" t="s">
        <v>23</v>
      </c>
      <c r="E92" s="24" t="s">
        <v>51</v>
      </c>
      <c r="F92" s="24" t="s">
        <v>497</v>
      </c>
      <c r="G92" s="24" t="s">
        <v>502</v>
      </c>
      <c r="H92" s="24" t="s">
        <v>54</v>
      </c>
      <c r="I92" s="24">
        <v>46</v>
      </c>
      <c r="J92" s="24">
        <v>0</v>
      </c>
      <c r="K92" s="24"/>
      <c r="L92" s="24" t="s">
        <v>503</v>
      </c>
      <c r="M92" s="24" t="s">
        <v>504</v>
      </c>
      <c r="N92" s="26" t="s">
        <v>30</v>
      </c>
      <c r="O92" s="26" t="s">
        <v>30</v>
      </c>
      <c r="P92" s="26" t="str">
        <f>IF(NOT("https://maps.app.goo.gl/wFe8mHvW4oBTUnKr7" = ""), HYPERLINK("https://maps.app.goo.gl/wFe8mHvW4oBTUnKr7", "موقع"), "")</f>
        <v>موقع</v>
      </c>
      <c r="Q92" s="24">
        <v>299000</v>
      </c>
      <c r="R92" s="26" t="str">
        <f t="shared" si="1"/>
        <v>تقديم طلب</v>
      </c>
      <c r="S92" s="32" t="s">
        <v>4064</v>
      </c>
    </row>
    <row r="93" spans="1:19" s="23" customFormat="1" ht="90" x14ac:dyDescent="0.3">
      <c r="A93" s="24" t="s">
        <v>496</v>
      </c>
      <c r="B93" s="25" t="s">
        <v>468</v>
      </c>
      <c r="C93" s="24" t="s">
        <v>469</v>
      </c>
      <c r="D93" s="24" t="s">
        <v>23</v>
      </c>
      <c r="E93" s="24" t="s">
        <v>51</v>
      </c>
      <c r="F93" s="24" t="s">
        <v>497</v>
      </c>
      <c r="G93" s="24" t="s">
        <v>498</v>
      </c>
      <c r="H93" s="24" t="s">
        <v>54</v>
      </c>
      <c r="I93" s="24">
        <v>175</v>
      </c>
      <c r="J93" s="24">
        <v>0</v>
      </c>
      <c r="K93" s="24"/>
      <c r="L93" s="24" t="s">
        <v>499</v>
      </c>
      <c r="M93" s="24" t="s">
        <v>500</v>
      </c>
      <c r="N93" s="26" t="s">
        <v>30</v>
      </c>
      <c r="O93" s="26" t="str">
        <f>IF(NOT("https://truemarkets3d.net/3d-virtual-tour/housingbank-realestate/phase3/aq-lnd-100227/index.html" = ""), HYPERLINK("https://truemarkets3d.net/3d-virtual-tour/housingbank-realestate/phase3/aq-lnd-100227/index.html", "جولة"), "")</f>
        <v>جولة</v>
      </c>
      <c r="P93" s="26" t="str">
        <f>IF(NOT("https://maps.app.goo.gl/GTbJz9ECJLSW5v8A7" = ""), HYPERLINK("https://maps.app.goo.gl/GTbJz9ECJLSW5v8A7", "موقع"), "")</f>
        <v>موقع</v>
      </c>
      <c r="Q93" s="24">
        <v>120000</v>
      </c>
      <c r="R93" s="26" t="str">
        <f t="shared" si="1"/>
        <v>تقديم طلب</v>
      </c>
      <c r="S93" s="32" t="s">
        <v>4065</v>
      </c>
    </row>
    <row r="94" spans="1:19" s="23" customFormat="1" ht="90" x14ac:dyDescent="0.3">
      <c r="A94" s="24" t="s">
        <v>491</v>
      </c>
      <c r="B94" s="25" t="s">
        <v>468</v>
      </c>
      <c r="C94" s="24" t="s">
        <v>469</v>
      </c>
      <c r="D94" s="24" t="s">
        <v>23</v>
      </c>
      <c r="E94" s="24" t="s">
        <v>77</v>
      </c>
      <c r="F94" s="24" t="s">
        <v>492</v>
      </c>
      <c r="G94" s="24" t="s">
        <v>493</v>
      </c>
      <c r="H94" s="24" t="s">
        <v>325</v>
      </c>
      <c r="I94" s="24">
        <v>41</v>
      </c>
      <c r="J94" s="24">
        <v>0</v>
      </c>
      <c r="K94" s="24"/>
      <c r="L94" s="24" t="s">
        <v>494</v>
      </c>
      <c r="M94" s="24" t="s">
        <v>495</v>
      </c>
      <c r="N94" s="26" t="s">
        <v>30</v>
      </c>
      <c r="O94" s="26" t="s">
        <v>30</v>
      </c>
      <c r="P94" s="26" t="s">
        <v>30</v>
      </c>
      <c r="Q94" s="24">
        <v>107000</v>
      </c>
      <c r="R94" s="26" t="str">
        <f t="shared" si="1"/>
        <v>تقديم طلب</v>
      </c>
      <c r="S94" s="32" t="s">
        <v>4066</v>
      </c>
    </row>
    <row r="95" spans="1:19" s="23" customFormat="1" ht="90" x14ac:dyDescent="0.3">
      <c r="A95" s="24" t="s">
        <v>488</v>
      </c>
      <c r="B95" s="25" t="s">
        <v>468</v>
      </c>
      <c r="C95" s="24" t="s">
        <v>469</v>
      </c>
      <c r="D95" s="24" t="s">
        <v>23</v>
      </c>
      <c r="E95" s="24" t="s">
        <v>182</v>
      </c>
      <c r="F95" s="24" t="s">
        <v>304</v>
      </c>
      <c r="G95" s="24" t="s">
        <v>441</v>
      </c>
      <c r="H95" s="24" t="s">
        <v>306</v>
      </c>
      <c r="I95" s="24">
        <v>238</v>
      </c>
      <c r="J95" s="24">
        <v>0</v>
      </c>
      <c r="K95" s="24"/>
      <c r="L95" s="24" t="s">
        <v>489</v>
      </c>
      <c r="M95" s="24" t="s">
        <v>490</v>
      </c>
      <c r="N95" s="26" t="s">
        <v>30</v>
      </c>
      <c r="O95" s="26" t="s">
        <v>30</v>
      </c>
      <c r="P95" s="26" t="s">
        <v>30</v>
      </c>
      <c r="Q95" s="24">
        <v>79000</v>
      </c>
      <c r="R95" s="26" t="str">
        <f t="shared" si="1"/>
        <v>تقديم طلب</v>
      </c>
      <c r="S95" s="32" t="s">
        <v>4067</v>
      </c>
    </row>
    <row r="96" spans="1:19" s="23" customFormat="1" ht="90" x14ac:dyDescent="0.3">
      <c r="A96" s="24" t="s">
        <v>484</v>
      </c>
      <c r="B96" s="25" t="s">
        <v>468</v>
      </c>
      <c r="C96" s="24" t="s">
        <v>469</v>
      </c>
      <c r="D96" s="24" t="s">
        <v>23</v>
      </c>
      <c r="E96" s="24" t="s">
        <v>24</v>
      </c>
      <c r="F96" s="24" t="s">
        <v>25</v>
      </c>
      <c r="G96" s="24" t="s">
        <v>485</v>
      </c>
      <c r="H96" s="24" t="s">
        <v>284</v>
      </c>
      <c r="I96" s="24">
        <v>743</v>
      </c>
      <c r="J96" s="24">
        <v>0</v>
      </c>
      <c r="K96" s="24"/>
      <c r="L96" s="24" t="s">
        <v>486</v>
      </c>
      <c r="M96" s="24" t="s">
        <v>487</v>
      </c>
      <c r="N96" s="26" t="s">
        <v>30</v>
      </c>
      <c r="O96" s="26" t="s">
        <v>30</v>
      </c>
      <c r="P96" s="26" t="str">
        <f>IF(NOT("https://maps.app.goo.gl/mPQUN4L9nYnxsqxg7" = ""), HYPERLINK("https://maps.app.goo.gl/mPQUN4L9nYnxsqxg7", "موقع"), "")</f>
        <v>موقع</v>
      </c>
      <c r="Q96" s="24">
        <v>51000</v>
      </c>
      <c r="R96" s="26" t="str">
        <f t="shared" si="1"/>
        <v>تقديم طلب</v>
      </c>
      <c r="S96" s="32" t="s">
        <v>4068</v>
      </c>
    </row>
    <row r="97" spans="1:19" s="23" customFormat="1" ht="210" x14ac:dyDescent="0.3">
      <c r="A97" s="24" t="s">
        <v>481</v>
      </c>
      <c r="B97" s="25" t="s">
        <v>468</v>
      </c>
      <c r="C97" s="24" t="s">
        <v>469</v>
      </c>
      <c r="D97" s="24" t="s">
        <v>23</v>
      </c>
      <c r="E97" s="24" t="s">
        <v>24</v>
      </c>
      <c r="F97" s="24" t="s">
        <v>476</v>
      </c>
      <c r="G97" s="24" t="s">
        <v>477</v>
      </c>
      <c r="H97" s="24" t="s">
        <v>478</v>
      </c>
      <c r="I97" s="24">
        <v>114</v>
      </c>
      <c r="J97" s="24">
        <v>0</v>
      </c>
      <c r="K97" s="24"/>
      <c r="L97" s="24" t="s">
        <v>482</v>
      </c>
      <c r="M97" s="24" t="s">
        <v>483</v>
      </c>
      <c r="N97" s="26" t="s">
        <v>30</v>
      </c>
      <c r="O97" s="26" t="s">
        <v>30</v>
      </c>
      <c r="P97" s="26" t="str">
        <f>IF(NOT("https://maps.app.goo.gl/MCYQqVTiARQ5qSDFA" = ""), HYPERLINK("https://maps.app.goo.gl/MCYQqVTiARQ5qSDFA", "موقع"), "")</f>
        <v>موقع</v>
      </c>
      <c r="Q97" s="24">
        <v>42000</v>
      </c>
      <c r="R97" s="26" t="str">
        <f t="shared" si="1"/>
        <v>تقديم طلب</v>
      </c>
      <c r="S97" s="32" t="s">
        <v>4069</v>
      </c>
    </row>
    <row r="98" spans="1:19" s="23" customFormat="1" ht="225" x14ac:dyDescent="0.3">
      <c r="A98" s="24" t="s">
        <v>475</v>
      </c>
      <c r="B98" s="25" t="s">
        <v>468</v>
      </c>
      <c r="C98" s="24" t="s">
        <v>469</v>
      </c>
      <c r="D98" s="24" t="s">
        <v>23</v>
      </c>
      <c r="E98" s="24" t="s">
        <v>24</v>
      </c>
      <c r="F98" s="24" t="s">
        <v>476</v>
      </c>
      <c r="G98" s="24" t="s">
        <v>477</v>
      </c>
      <c r="H98" s="24" t="s">
        <v>478</v>
      </c>
      <c r="I98" s="24">
        <v>197</v>
      </c>
      <c r="J98" s="24">
        <v>0</v>
      </c>
      <c r="K98" s="24"/>
      <c r="L98" s="24" t="s">
        <v>479</v>
      </c>
      <c r="M98" s="24" t="s">
        <v>480</v>
      </c>
      <c r="N98" s="26" t="s">
        <v>30</v>
      </c>
      <c r="O98" s="26" t="s">
        <v>30</v>
      </c>
      <c r="P98" s="26" t="str">
        <f>IF(NOT("https://maps.app.goo.gl/nUG5J3zE6ENvjhgFA" = ""), HYPERLINK("https://maps.app.goo.gl/nUG5J3zE6ENvjhgFA", "موقع"), "")</f>
        <v>موقع</v>
      </c>
      <c r="Q98" s="24">
        <v>20000</v>
      </c>
      <c r="R98" s="26" t="str">
        <f t="shared" si="1"/>
        <v>تقديم طلب</v>
      </c>
      <c r="S98" s="32" t="s">
        <v>4070</v>
      </c>
    </row>
    <row r="99" spans="1:19" s="23" customFormat="1" ht="315" x14ac:dyDescent="0.3">
      <c r="A99" s="24" t="s">
        <v>467</v>
      </c>
      <c r="B99" s="25" t="s">
        <v>468</v>
      </c>
      <c r="C99" s="24" t="s">
        <v>469</v>
      </c>
      <c r="D99" s="24" t="s">
        <v>23</v>
      </c>
      <c r="E99" s="24" t="s">
        <v>124</v>
      </c>
      <c r="F99" s="24" t="s">
        <v>470</v>
      </c>
      <c r="G99" s="24" t="s">
        <v>471</v>
      </c>
      <c r="H99" s="24" t="s">
        <v>472</v>
      </c>
      <c r="I99" s="24">
        <v>215</v>
      </c>
      <c r="J99" s="24">
        <v>0</v>
      </c>
      <c r="K99" s="24"/>
      <c r="L99" s="24" t="s">
        <v>473</v>
      </c>
      <c r="M99" s="24" t="s">
        <v>474</v>
      </c>
      <c r="N99" s="26" t="s">
        <v>30</v>
      </c>
      <c r="O99" s="26" t="s">
        <v>30</v>
      </c>
      <c r="P99" s="26" t="str">
        <f>IF(NOT("https://maps.app.goo.gl/dpR5Bfw38M44h4Xm8" = ""), HYPERLINK("https://maps.app.goo.gl/dpR5Bfw38M44h4Xm8", "موقع"), "")</f>
        <v>موقع</v>
      </c>
      <c r="Q99" s="24">
        <v>4000</v>
      </c>
      <c r="R99" s="26" t="str">
        <f t="shared" si="1"/>
        <v>تقديم طلب</v>
      </c>
      <c r="S99" s="32" t="s">
        <v>4071</v>
      </c>
    </row>
    <row r="100" spans="1:19" s="23" customFormat="1" ht="90" x14ac:dyDescent="0.3">
      <c r="A100" s="24" t="s">
        <v>526</v>
      </c>
      <c r="B100" s="25" t="s">
        <v>296</v>
      </c>
      <c r="C100" s="24" t="s">
        <v>522</v>
      </c>
      <c r="D100" s="24" t="s">
        <v>23</v>
      </c>
      <c r="E100" s="24" t="s">
        <v>24</v>
      </c>
      <c r="F100" s="24" t="s">
        <v>527</v>
      </c>
      <c r="G100" s="24" t="s">
        <v>528</v>
      </c>
      <c r="H100" s="24" t="s">
        <v>291</v>
      </c>
      <c r="I100" s="24">
        <v>721</v>
      </c>
      <c r="J100" s="24">
        <v>0</v>
      </c>
      <c r="K100" s="24"/>
      <c r="L100" s="24" t="s">
        <v>529</v>
      </c>
      <c r="M100" s="24" t="s">
        <v>530</v>
      </c>
      <c r="N100" s="26" t="s">
        <v>30</v>
      </c>
      <c r="O100" s="26" t="s">
        <v>30</v>
      </c>
      <c r="P100" s="26" t="str">
        <f>IF(NOT("https://maps.app.goo.gl/jdP9mhJeqY1ZVuzt5" = ""), HYPERLINK("https://maps.app.goo.gl/jdP9mhJeqY1ZVuzt5", "موقع"), "")</f>
        <v>موقع</v>
      </c>
      <c r="Q100" s="24">
        <v>43000</v>
      </c>
      <c r="R100" s="26" t="str">
        <f t="shared" si="1"/>
        <v>تقديم طلب</v>
      </c>
      <c r="S100" s="32" t="s">
        <v>4072</v>
      </c>
    </row>
    <row r="101" spans="1:19" s="23" customFormat="1" ht="90" x14ac:dyDescent="0.3">
      <c r="A101" s="24" t="s">
        <v>521</v>
      </c>
      <c r="B101" s="25" t="s">
        <v>296</v>
      </c>
      <c r="C101" s="24" t="s">
        <v>522</v>
      </c>
      <c r="D101" s="24" t="s">
        <v>23</v>
      </c>
      <c r="E101" s="24" t="s">
        <v>124</v>
      </c>
      <c r="F101" s="24" t="s">
        <v>398</v>
      </c>
      <c r="G101" s="24" t="s">
        <v>523</v>
      </c>
      <c r="H101" s="24" t="s">
        <v>400</v>
      </c>
      <c r="I101" s="24">
        <v>721</v>
      </c>
      <c r="J101" s="24">
        <v>0</v>
      </c>
      <c r="K101" s="24"/>
      <c r="L101" s="24" t="s">
        <v>524</v>
      </c>
      <c r="M101" s="24" t="s">
        <v>525</v>
      </c>
      <c r="N101" s="26" t="s">
        <v>30</v>
      </c>
      <c r="O101" s="26" t="s">
        <v>30</v>
      </c>
      <c r="P101" s="26" t="str">
        <f>IF(NOT("https://maps.app.goo.gl/qccUBmfQyxV8jbS37" = ""), HYPERLINK("https://maps.app.goo.gl/qccUBmfQyxV8jbS37", "موقع"), "")</f>
        <v>موقع</v>
      </c>
      <c r="Q101" s="24">
        <v>16000</v>
      </c>
      <c r="R101" s="26" t="str">
        <f t="shared" si="1"/>
        <v>تقديم طلب</v>
      </c>
      <c r="S101" s="32" t="s">
        <v>4073</v>
      </c>
    </row>
    <row r="102" spans="1:19" s="23" customFormat="1" ht="165" x14ac:dyDescent="0.3">
      <c r="A102" s="24" t="s">
        <v>531</v>
      </c>
      <c r="B102" s="25" t="s">
        <v>296</v>
      </c>
      <c r="C102" s="24" t="s">
        <v>532</v>
      </c>
      <c r="D102" s="24" t="s">
        <v>23</v>
      </c>
      <c r="E102" s="24" t="s">
        <v>182</v>
      </c>
      <c r="F102" s="24" t="s">
        <v>304</v>
      </c>
      <c r="G102" s="24" t="s">
        <v>533</v>
      </c>
      <c r="H102" s="24" t="s">
        <v>306</v>
      </c>
      <c r="I102" s="24">
        <v>305</v>
      </c>
      <c r="J102" s="24">
        <v>0</v>
      </c>
      <c r="K102" s="24"/>
      <c r="L102" s="24" t="s">
        <v>534</v>
      </c>
      <c r="M102" s="24" t="s">
        <v>535</v>
      </c>
      <c r="N102" s="26" t="s">
        <v>30</v>
      </c>
      <c r="O102" s="26" t="s">
        <v>30</v>
      </c>
      <c r="P102" s="26" t="str">
        <f>IF(NOT("https://maps.app.goo.gl/7LcX3touGJ2D87889" = ""), HYPERLINK("https://maps.app.goo.gl/7LcX3touGJ2D87889", "موقع"), "")</f>
        <v>موقع</v>
      </c>
      <c r="Q102" s="24">
        <v>50000</v>
      </c>
      <c r="R102" s="26" t="str">
        <f t="shared" si="1"/>
        <v>تقديم طلب</v>
      </c>
      <c r="S102" s="32" t="s">
        <v>4074</v>
      </c>
    </row>
    <row r="103" spans="1:19" s="23" customFormat="1" ht="90" x14ac:dyDescent="0.3">
      <c r="A103" s="24" t="s">
        <v>558</v>
      </c>
      <c r="B103" s="25" t="s">
        <v>21</v>
      </c>
      <c r="C103" s="24" t="s">
        <v>59</v>
      </c>
      <c r="D103" s="24" t="s">
        <v>537</v>
      </c>
      <c r="E103" s="24" t="s">
        <v>538</v>
      </c>
      <c r="F103" s="24" t="s">
        <v>539</v>
      </c>
      <c r="G103" s="24" t="s">
        <v>540</v>
      </c>
      <c r="H103" s="24" t="s">
        <v>547</v>
      </c>
      <c r="I103" s="24">
        <v>282</v>
      </c>
      <c r="J103" s="24">
        <v>-112</v>
      </c>
      <c r="K103" s="24" t="s">
        <v>33</v>
      </c>
      <c r="L103" s="24" t="s">
        <v>559</v>
      </c>
      <c r="M103" s="24" t="s">
        <v>560</v>
      </c>
      <c r="N103" s="26" t="s">
        <v>30</v>
      </c>
      <c r="O103" s="26" t="s">
        <v>30</v>
      </c>
      <c r="P103" s="26" t="s">
        <v>30</v>
      </c>
      <c r="Q103" s="24">
        <v>62000</v>
      </c>
      <c r="R103" s="26" t="str">
        <f t="shared" si="1"/>
        <v>تقديم طلب</v>
      </c>
      <c r="S103" s="32" t="s">
        <v>4075</v>
      </c>
    </row>
    <row r="104" spans="1:19" s="23" customFormat="1" ht="90" x14ac:dyDescent="0.3">
      <c r="A104" s="24" t="s">
        <v>561</v>
      </c>
      <c r="B104" s="25" t="s">
        <v>21</v>
      </c>
      <c r="C104" s="24" t="s">
        <v>59</v>
      </c>
      <c r="D104" s="24" t="s">
        <v>537</v>
      </c>
      <c r="E104" s="24" t="s">
        <v>538</v>
      </c>
      <c r="F104" s="24" t="s">
        <v>539</v>
      </c>
      <c r="G104" s="24" t="s">
        <v>540</v>
      </c>
      <c r="H104" s="24" t="s">
        <v>541</v>
      </c>
      <c r="I104" s="24">
        <v>300</v>
      </c>
      <c r="J104" s="24">
        <v>101</v>
      </c>
      <c r="K104" s="24" t="s">
        <v>28</v>
      </c>
      <c r="L104" s="24" t="s">
        <v>562</v>
      </c>
      <c r="M104" s="24" t="s">
        <v>563</v>
      </c>
      <c r="N104" s="26" t="s">
        <v>30</v>
      </c>
      <c r="O104" s="26" t="str">
        <f>IF(NOT("https://truemarkets3d.net/3d-virtual-tour/housingbank-realestate/phase3/aq-re-100012/index.html" = ""), HYPERLINK("https://truemarkets3d.net/3d-virtual-tour/housingbank-realestate/phase3/aq-re-100012/index.html", "جولة"), "")</f>
        <v>جولة</v>
      </c>
      <c r="P104" s="26" t="str">
        <f>IF(NOT("https://maps.app.goo.gl/Jx9oW4LuchHHL7Gw7" = ""), HYPERLINK("https://maps.app.goo.gl/Jx9oW4LuchHHL7Gw7", "موقع"), "")</f>
        <v>موقع</v>
      </c>
      <c r="Q104" s="24">
        <v>62000</v>
      </c>
      <c r="R104" s="26" t="str">
        <f t="shared" si="1"/>
        <v>تقديم طلب</v>
      </c>
      <c r="S104" s="32" t="s">
        <v>4076</v>
      </c>
    </row>
    <row r="105" spans="1:19" s="23" customFormat="1" ht="105" x14ac:dyDescent="0.3">
      <c r="A105" s="24" t="s">
        <v>556</v>
      </c>
      <c r="B105" s="25" t="s">
        <v>21</v>
      </c>
      <c r="C105" s="24" t="s">
        <v>59</v>
      </c>
      <c r="D105" s="24" t="s">
        <v>537</v>
      </c>
      <c r="E105" s="24" t="s">
        <v>538</v>
      </c>
      <c r="F105" s="24" t="s">
        <v>539</v>
      </c>
      <c r="G105" s="24" t="s">
        <v>540</v>
      </c>
      <c r="H105" s="24" t="s">
        <v>547</v>
      </c>
      <c r="I105" s="24">
        <v>282</v>
      </c>
      <c r="J105" s="24">
        <v>-122</v>
      </c>
      <c r="K105" s="24" t="s">
        <v>551</v>
      </c>
      <c r="L105" s="24" t="s">
        <v>557</v>
      </c>
      <c r="M105" s="24" t="s">
        <v>552</v>
      </c>
      <c r="N105" s="26" t="s">
        <v>30</v>
      </c>
      <c r="O105" s="26" t="str">
        <f>IF(NOT("https://truemarkets3d.net/3d-virtual-tour/housingbank-realestate/phase3/aq-re-100105/index.html" = ""), HYPERLINK("https://truemarkets3d.net/3d-virtual-tour/housingbank-realestate/phase3/aq-re-100105/index.html", "جولة"), "")</f>
        <v>جولة</v>
      </c>
      <c r="P105" s="26" t="str">
        <f>IF(NOT("https://maps.app.goo.gl/8T2GeRGwHai9fGQ79" = ""), HYPERLINK("https://maps.app.goo.gl/8T2GeRGwHai9fGQ79", "موقع"), "")</f>
        <v>موقع</v>
      </c>
      <c r="Q105" s="24">
        <v>61000</v>
      </c>
      <c r="R105" s="26" t="str">
        <f t="shared" si="1"/>
        <v>تقديم طلب</v>
      </c>
      <c r="S105" s="32" t="s">
        <v>4077</v>
      </c>
    </row>
    <row r="106" spans="1:19" s="23" customFormat="1" ht="105" x14ac:dyDescent="0.3">
      <c r="A106" s="24" t="s">
        <v>550</v>
      </c>
      <c r="B106" s="25" t="s">
        <v>21</v>
      </c>
      <c r="C106" s="24" t="s">
        <v>59</v>
      </c>
      <c r="D106" s="24" t="s">
        <v>537</v>
      </c>
      <c r="E106" s="24" t="s">
        <v>538</v>
      </c>
      <c r="F106" s="24" t="s">
        <v>539</v>
      </c>
      <c r="G106" s="24" t="s">
        <v>540</v>
      </c>
      <c r="H106" s="24" t="s">
        <v>541</v>
      </c>
      <c r="I106" s="24">
        <v>282</v>
      </c>
      <c r="J106" s="24">
        <v>-123</v>
      </c>
      <c r="K106" s="24" t="s">
        <v>551</v>
      </c>
      <c r="L106" s="24" t="s">
        <v>211</v>
      </c>
      <c r="M106" s="24" t="s">
        <v>552</v>
      </c>
      <c r="N106" s="26" t="str">
        <f>IF(NOT("https://youtu.be/yv2fVCxQgQk" = ""), HYPERLINK("https://youtu.be/yv2fVCxQgQk", "فيديو"), "")</f>
        <v>فيديو</v>
      </c>
      <c r="O106" s="26" t="str">
        <f>IF(NOT("https://truemarkets3d.net/3d-virtual-tour/housingbank-realestate/phase3/aq-re-100572/index.html" = ""), HYPERLINK("https://truemarkets3d.net/3d-virtual-tour/housingbank-realestate/phase3/aq-re-100572/index.html", "جولة"), "")</f>
        <v>جولة</v>
      </c>
      <c r="P106" s="26" t="str">
        <f>IF(NOT("https://maps.app.goo.gl/8T2GeRGwHai9fGQ79" = ""), HYPERLINK("https://maps.app.goo.gl/8T2GeRGwHai9fGQ79", "موقع"), "")</f>
        <v>موقع</v>
      </c>
      <c r="Q106" s="24">
        <v>59000</v>
      </c>
      <c r="R106" s="26" t="str">
        <f t="shared" si="1"/>
        <v>تقديم طلب</v>
      </c>
      <c r="S106" s="32" t="s">
        <v>4078</v>
      </c>
    </row>
    <row r="107" spans="1:19" s="23" customFormat="1" ht="105" x14ac:dyDescent="0.3">
      <c r="A107" s="24" t="s">
        <v>553</v>
      </c>
      <c r="B107" s="25" t="s">
        <v>21</v>
      </c>
      <c r="C107" s="24" t="s">
        <v>59</v>
      </c>
      <c r="D107" s="24" t="s">
        <v>537</v>
      </c>
      <c r="E107" s="24" t="s">
        <v>538</v>
      </c>
      <c r="F107" s="24" t="s">
        <v>539</v>
      </c>
      <c r="G107" s="24" t="s">
        <v>546</v>
      </c>
      <c r="H107" s="24" t="s">
        <v>547</v>
      </c>
      <c r="I107" s="24">
        <v>2384</v>
      </c>
      <c r="J107" s="24">
        <v>-101</v>
      </c>
      <c r="K107" s="24" t="s">
        <v>33</v>
      </c>
      <c r="L107" s="24" t="s">
        <v>554</v>
      </c>
      <c r="M107" s="24" t="s">
        <v>555</v>
      </c>
      <c r="N107" s="26" t="s">
        <v>30</v>
      </c>
      <c r="O107" s="26" t="str">
        <f>IF(NOT("https://truemarkets3d.net/3d-virtual-tour/housingbank-realestate/phase3/aq-re-100698/index.html" = ""), HYPERLINK("https://truemarkets3d.net/3d-virtual-tour/housingbank-realestate/phase3/aq-re-100698/index.html", "جولة"), "")</f>
        <v>جولة</v>
      </c>
      <c r="P107" s="26" t="str">
        <f>IF(NOT("https://maps.app.goo.gl/yvsNowNAet4CtjyT8" = ""), HYPERLINK("https://maps.app.goo.gl/yvsNowNAet4CtjyT8", "موقع"), "")</f>
        <v>موقع</v>
      </c>
      <c r="Q107" s="24">
        <v>59000</v>
      </c>
      <c r="R107" s="26" t="str">
        <f t="shared" si="1"/>
        <v>تقديم طلب</v>
      </c>
      <c r="S107" s="32" t="s">
        <v>4079</v>
      </c>
    </row>
    <row r="108" spans="1:19" s="23" customFormat="1" ht="105" x14ac:dyDescent="0.3">
      <c r="A108" s="24" t="s">
        <v>545</v>
      </c>
      <c r="B108" s="25" t="s">
        <v>21</v>
      </c>
      <c r="C108" s="24" t="s">
        <v>59</v>
      </c>
      <c r="D108" s="24" t="s">
        <v>537</v>
      </c>
      <c r="E108" s="24" t="s">
        <v>538</v>
      </c>
      <c r="F108" s="24" t="s">
        <v>539</v>
      </c>
      <c r="G108" s="24" t="s">
        <v>546</v>
      </c>
      <c r="H108" s="24" t="s">
        <v>547</v>
      </c>
      <c r="I108" s="24">
        <v>1376</v>
      </c>
      <c r="J108" s="24">
        <v>-112</v>
      </c>
      <c r="K108" s="24" t="s">
        <v>33</v>
      </c>
      <c r="L108" s="24" t="s">
        <v>548</v>
      </c>
      <c r="M108" s="24" t="s">
        <v>549</v>
      </c>
      <c r="N108" s="26" t="str">
        <f>IF(NOT("https://youtu.be/xZ0pn7-7ITk" = ""), HYPERLINK("https://youtu.be/xZ0pn7-7ITk", "فيديو"), "")</f>
        <v>فيديو</v>
      </c>
      <c r="O108" s="26" t="str">
        <f>IF(NOT("https://truemarkets3d.net/3d-virtual-tour/housingbank-realestate/phase3/aq-re-100660/index.html" = ""), HYPERLINK("https://truemarkets3d.net/3d-virtual-tour/housingbank-realestate/phase3/aq-re-100660/index.html", "جولة"), "")</f>
        <v>جولة</v>
      </c>
      <c r="P108" s="26" t="str">
        <f>IF(NOT("https://maps.app.goo.gl/7L2MvjC9BBSDj8EC7" = ""), HYPERLINK("https://maps.app.goo.gl/7L2MvjC9BBSDj8EC7", "موقع"), "")</f>
        <v>موقع</v>
      </c>
      <c r="Q108" s="24">
        <v>50000</v>
      </c>
      <c r="R108" s="26" t="str">
        <f t="shared" si="1"/>
        <v>تقديم طلب</v>
      </c>
      <c r="S108" s="32" t="s">
        <v>4080</v>
      </c>
    </row>
    <row r="109" spans="1:19" s="23" customFormat="1" ht="90" x14ac:dyDescent="0.3">
      <c r="A109" s="24" t="s">
        <v>536</v>
      </c>
      <c r="B109" s="25" t="s">
        <v>21</v>
      </c>
      <c r="C109" s="24" t="s">
        <v>59</v>
      </c>
      <c r="D109" s="24" t="s">
        <v>537</v>
      </c>
      <c r="E109" s="24" t="s">
        <v>538</v>
      </c>
      <c r="F109" s="24" t="s">
        <v>539</v>
      </c>
      <c r="G109" s="24" t="s">
        <v>540</v>
      </c>
      <c r="H109" s="24" t="s">
        <v>541</v>
      </c>
      <c r="I109" s="24">
        <v>300</v>
      </c>
      <c r="J109" s="24">
        <v>-113</v>
      </c>
      <c r="K109" s="24" t="s">
        <v>33</v>
      </c>
      <c r="L109" s="24" t="s">
        <v>542</v>
      </c>
      <c r="M109" s="24" t="s">
        <v>543</v>
      </c>
      <c r="N109" s="26" t="s">
        <v>30</v>
      </c>
      <c r="O109" s="26" t="s">
        <v>30</v>
      </c>
      <c r="P109" s="26" t="str">
        <f>IF(NOT("https://maps.app.goo.gl/6RndwJPwZpYGEEyaA" = ""), HYPERLINK("https://maps.app.goo.gl/6RndwJPwZpYGEEyaA", "موقع"), "")</f>
        <v>موقع</v>
      </c>
      <c r="Q109" s="24">
        <v>26000</v>
      </c>
      <c r="R109" s="26" t="str">
        <f t="shared" si="1"/>
        <v>تقديم طلب</v>
      </c>
      <c r="S109" s="32" t="s">
        <v>4081</v>
      </c>
    </row>
    <row r="110" spans="1:19" s="23" customFormat="1" ht="150" x14ac:dyDescent="0.3">
      <c r="A110" s="24" t="s">
        <v>633</v>
      </c>
      <c r="B110" s="25" t="s">
        <v>296</v>
      </c>
      <c r="C110" s="24" t="s">
        <v>315</v>
      </c>
      <c r="D110" s="24" t="s">
        <v>537</v>
      </c>
      <c r="E110" s="24" t="s">
        <v>538</v>
      </c>
      <c r="F110" s="24" t="s">
        <v>539</v>
      </c>
      <c r="G110" s="24" t="s">
        <v>634</v>
      </c>
      <c r="H110" s="24" t="s">
        <v>547</v>
      </c>
      <c r="I110" s="24">
        <v>187</v>
      </c>
      <c r="J110" s="24">
        <v>0</v>
      </c>
      <c r="K110" s="24"/>
      <c r="L110" s="24" t="s">
        <v>635</v>
      </c>
      <c r="M110" s="24" t="s">
        <v>636</v>
      </c>
      <c r="N110" s="26" t="s">
        <v>30</v>
      </c>
      <c r="O110" s="26" t="s">
        <v>30</v>
      </c>
      <c r="P110" s="26" t="str">
        <f>IF(NOT("https://maps.app.goo.gl/Ya9YEaFjkS2haHkf9" = ""), HYPERLINK("https://maps.app.goo.gl/Ya9YEaFjkS2haHkf9", "موقع"), "")</f>
        <v>موقع</v>
      </c>
      <c r="Q110" s="24">
        <v>415000</v>
      </c>
      <c r="R110" s="26" t="str">
        <f t="shared" si="1"/>
        <v>تقديم طلب</v>
      </c>
      <c r="S110" s="32" t="s">
        <v>4082</v>
      </c>
    </row>
    <row r="111" spans="1:19" s="23" customFormat="1" ht="135" x14ac:dyDescent="0.3">
      <c r="A111" s="24" t="s">
        <v>628</v>
      </c>
      <c r="B111" s="25" t="s">
        <v>296</v>
      </c>
      <c r="C111" s="24" t="s">
        <v>315</v>
      </c>
      <c r="D111" s="24" t="s">
        <v>537</v>
      </c>
      <c r="E111" s="24" t="s">
        <v>538</v>
      </c>
      <c r="F111" s="24" t="s">
        <v>629</v>
      </c>
      <c r="G111" s="24" t="s">
        <v>630</v>
      </c>
      <c r="H111" s="24" t="s">
        <v>547</v>
      </c>
      <c r="I111" s="24">
        <v>121</v>
      </c>
      <c r="J111" s="24">
        <v>0</v>
      </c>
      <c r="K111" s="24"/>
      <c r="L111" s="24" t="s">
        <v>631</v>
      </c>
      <c r="M111" s="24" t="s">
        <v>632</v>
      </c>
      <c r="N111" s="26" t="s">
        <v>30</v>
      </c>
      <c r="O111" s="26" t="s">
        <v>30</v>
      </c>
      <c r="P111" s="26" t="str">
        <f>IF(NOT("https://maps.app.goo.gl/hsuPpW1NdMPLGMrb9" = ""), HYPERLINK("https://maps.app.goo.gl/hsuPpW1NdMPLGMrb9", "موقع"), "")</f>
        <v>موقع</v>
      </c>
      <c r="Q111" s="24">
        <v>78000</v>
      </c>
      <c r="R111" s="26" t="str">
        <f t="shared" si="1"/>
        <v>تقديم طلب</v>
      </c>
      <c r="S111" s="32" t="s">
        <v>4083</v>
      </c>
    </row>
    <row r="112" spans="1:19" s="23" customFormat="1" ht="90" x14ac:dyDescent="0.3">
      <c r="A112" s="24" t="s">
        <v>623</v>
      </c>
      <c r="B112" s="25" t="s">
        <v>296</v>
      </c>
      <c r="C112" s="24" t="s">
        <v>315</v>
      </c>
      <c r="D112" s="24" t="s">
        <v>537</v>
      </c>
      <c r="E112" s="24" t="s">
        <v>538</v>
      </c>
      <c r="F112" s="24" t="s">
        <v>539</v>
      </c>
      <c r="G112" s="24" t="s">
        <v>624</v>
      </c>
      <c r="H112" s="24" t="s">
        <v>625</v>
      </c>
      <c r="I112" s="24">
        <v>85</v>
      </c>
      <c r="J112" s="24">
        <v>0</v>
      </c>
      <c r="K112" s="24"/>
      <c r="L112" s="24" t="s">
        <v>626</v>
      </c>
      <c r="M112" s="24" t="s">
        <v>627</v>
      </c>
      <c r="N112" s="26" t="s">
        <v>30</v>
      </c>
      <c r="O112" s="26" t="s">
        <v>30</v>
      </c>
      <c r="P112" s="26" t="str">
        <f>IF(NOT("https://maps.app.goo.gl/a2JyeiPQoTnDutsu5" = ""), HYPERLINK("https://maps.app.goo.gl/a2JyeiPQoTnDutsu5", "موقع"), "")</f>
        <v>موقع</v>
      </c>
      <c r="Q112" s="24">
        <v>53000</v>
      </c>
      <c r="R112" s="26" t="str">
        <f t="shared" si="1"/>
        <v>تقديم طلب</v>
      </c>
      <c r="S112" s="32" t="s">
        <v>4084</v>
      </c>
    </row>
    <row r="113" spans="1:19" s="23" customFormat="1" ht="135" x14ac:dyDescent="0.3">
      <c r="A113" s="24" t="s">
        <v>619</v>
      </c>
      <c r="B113" s="25" t="s">
        <v>296</v>
      </c>
      <c r="C113" s="24" t="s">
        <v>315</v>
      </c>
      <c r="D113" s="24" t="s">
        <v>537</v>
      </c>
      <c r="E113" s="24" t="s">
        <v>565</v>
      </c>
      <c r="F113" s="24" t="s">
        <v>615</v>
      </c>
      <c r="G113" s="24" t="s">
        <v>620</v>
      </c>
      <c r="H113" s="24" t="s">
        <v>606</v>
      </c>
      <c r="I113" s="24">
        <v>2696</v>
      </c>
      <c r="J113" s="24">
        <v>0</v>
      </c>
      <c r="K113" s="24"/>
      <c r="L113" s="24" t="s">
        <v>621</v>
      </c>
      <c r="M113" s="24" t="s">
        <v>622</v>
      </c>
      <c r="N113" s="26" t="s">
        <v>30</v>
      </c>
      <c r="O113" s="26" t="s">
        <v>30</v>
      </c>
      <c r="P113" s="26" t="str">
        <f>IF(NOT("https://maps.app.goo.gl/a5gfNksMteUj8qPn7" = ""), HYPERLINK("https://maps.app.goo.gl/a5gfNksMteUj8qPn7", "موقع"), "")</f>
        <v>موقع</v>
      </c>
      <c r="Q113" s="24">
        <v>41000</v>
      </c>
      <c r="R113" s="26" t="str">
        <f t="shared" si="1"/>
        <v>تقديم طلب</v>
      </c>
      <c r="S113" s="32" t="s">
        <v>4085</v>
      </c>
    </row>
    <row r="114" spans="1:19" s="23" customFormat="1" ht="105" x14ac:dyDescent="0.3">
      <c r="A114" s="24" t="s">
        <v>614</v>
      </c>
      <c r="B114" s="25" t="s">
        <v>296</v>
      </c>
      <c r="C114" s="24" t="s">
        <v>315</v>
      </c>
      <c r="D114" s="24" t="s">
        <v>537</v>
      </c>
      <c r="E114" s="24" t="s">
        <v>565</v>
      </c>
      <c r="F114" s="24" t="s">
        <v>615</v>
      </c>
      <c r="G114" s="24" t="s">
        <v>616</v>
      </c>
      <c r="H114" s="24" t="s">
        <v>547</v>
      </c>
      <c r="I114" s="24">
        <v>625</v>
      </c>
      <c r="J114" s="24">
        <v>0</v>
      </c>
      <c r="K114" s="24"/>
      <c r="L114" s="24" t="s">
        <v>617</v>
      </c>
      <c r="M114" s="24" t="s">
        <v>618</v>
      </c>
      <c r="N114" s="26" t="s">
        <v>30</v>
      </c>
      <c r="O114" s="26" t="s">
        <v>30</v>
      </c>
      <c r="P114" s="26" t="s">
        <v>30</v>
      </c>
      <c r="Q114" s="24">
        <v>37000</v>
      </c>
      <c r="R114" s="26" t="str">
        <f t="shared" si="1"/>
        <v>تقديم طلب</v>
      </c>
      <c r="S114" s="32" t="s">
        <v>4086</v>
      </c>
    </row>
    <row r="115" spans="1:19" s="23" customFormat="1" ht="165" x14ac:dyDescent="0.3">
      <c r="A115" s="24" t="s">
        <v>609</v>
      </c>
      <c r="B115" s="25" t="s">
        <v>296</v>
      </c>
      <c r="C115" s="24" t="s">
        <v>315</v>
      </c>
      <c r="D115" s="24" t="s">
        <v>537</v>
      </c>
      <c r="E115" s="24" t="s">
        <v>565</v>
      </c>
      <c r="F115" s="24" t="s">
        <v>610</v>
      </c>
      <c r="G115" s="24" t="s">
        <v>611</v>
      </c>
      <c r="H115" s="24" t="s">
        <v>606</v>
      </c>
      <c r="I115" s="24">
        <v>199</v>
      </c>
      <c r="J115" s="24">
        <v>0</v>
      </c>
      <c r="K115" s="24"/>
      <c r="L115" s="24" t="s">
        <v>612</v>
      </c>
      <c r="M115" s="24" t="s">
        <v>613</v>
      </c>
      <c r="N115" s="26" t="s">
        <v>30</v>
      </c>
      <c r="O115" s="26" t="s">
        <v>30</v>
      </c>
      <c r="P115" s="26" t="str">
        <f>IF(NOT("https://maps.app.goo.gl/knbKAjXgj6dbL4LRA" = ""), HYPERLINK("https://maps.app.goo.gl/knbKAjXgj6dbL4LRA", "موقع"), "")</f>
        <v>موقع</v>
      </c>
      <c r="Q115" s="24">
        <v>31000</v>
      </c>
      <c r="R115" s="26" t="str">
        <f t="shared" si="1"/>
        <v>تقديم طلب</v>
      </c>
      <c r="S115" s="32" t="s">
        <v>4087</v>
      </c>
    </row>
    <row r="116" spans="1:19" s="23" customFormat="1" ht="135" x14ac:dyDescent="0.3">
      <c r="A116" s="24" t="s">
        <v>603</v>
      </c>
      <c r="B116" s="25" t="s">
        <v>296</v>
      </c>
      <c r="C116" s="24" t="s">
        <v>315</v>
      </c>
      <c r="D116" s="24" t="s">
        <v>537</v>
      </c>
      <c r="E116" s="24" t="s">
        <v>565</v>
      </c>
      <c r="F116" s="24" t="s">
        <v>604</v>
      </c>
      <c r="G116" s="24" t="s">
        <v>605</v>
      </c>
      <c r="H116" s="24" t="s">
        <v>606</v>
      </c>
      <c r="I116" s="24">
        <v>522</v>
      </c>
      <c r="J116" s="24">
        <v>0</v>
      </c>
      <c r="K116" s="24"/>
      <c r="L116" s="24" t="s">
        <v>607</v>
      </c>
      <c r="M116" s="24" t="s">
        <v>608</v>
      </c>
      <c r="N116" s="26" t="s">
        <v>30</v>
      </c>
      <c r="O116" s="26" t="s">
        <v>30</v>
      </c>
      <c r="P116" s="26" t="str">
        <f>IF(NOT("https://maps.app.goo.gl/ywwSPGuWCw49182z5" = ""), HYPERLINK("https://maps.app.goo.gl/ywwSPGuWCw49182z5", "موقع"), "")</f>
        <v>موقع</v>
      </c>
      <c r="Q116" s="24">
        <v>23000</v>
      </c>
      <c r="R116" s="26" t="str">
        <f t="shared" si="1"/>
        <v>تقديم طلب</v>
      </c>
      <c r="S116" s="32" t="s">
        <v>4088</v>
      </c>
    </row>
    <row r="117" spans="1:19" s="23" customFormat="1" ht="105" x14ac:dyDescent="0.3">
      <c r="A117" s="24" t="s">
        <v>599</v>
      </c>
      <c r="B117" s="25" t="s">
        <v>296</v>
      </c>
      <c r="C117" s="24" t="s">
        <v>315</v>
      </c>
      <c r="D117" s="24" t="s">
        <v>537</v>
      </c>
      <c r="E117" s="24" t="s">
        <v>538</v>
      </c>
      <c r="F117" s="24" t="s">
        <v>539</v>
      </c>
      <c r="G117" s="24" t="s">
        <v>600</v>
      </c>
      <c r="H117" s="24" t="s">
        <v>547</v>
      </c>
      <c r="I117" s="24">
        <v>33</v>
      </c>
      <c r="J117" s="24">
        <v>0</v>
      </c>
      <c r="K117" s="24"/>
      <c r="L117" s="24" t="s">
        <v>601</v>
      </c>
      <c r="M117" s="24" t="s">
        <v>602</v>
      </c>
      <c r="N117" s="26" t="s">
        <v>30</v>
      </c>
      <c r="O117" s="26" t="s">
        <v>30</v>
      </c>
      <c r="P117" s="26" t="str">
        <f>IF(NOT("https://maps.app.goo.gl/21hMGwEtcZe6gXuB7" = ""), HYPERLINK("https://maps.app.goo.gl/21hMGwEtcZe6gXuB7", "موقع"), "")</f>
        <v>موقع</v>
      </c>
      <c r="Q117" s="24">
        <v>1000</v>
      </c>
      <c r="R117" s="26" t="str">
        <f t="shared" si="1"/>
        <v>تقديم طلب</v>
      </c>
      <c r="S117" s="32" t="s">
        <v>4089</v>
      </c>
    </row>
    <row r="118" spans="1:19" s="23" customFormat="1" ht="120" x14ac:dyDescent="0.3">
      <c r="A118" s="24" t="s">
        <v>642</v>
      </c>
      <c r="B118" s="25" t="s">
        <v>296</v>
      </c>
      <c r="C118" s="24" t="s">
        <v>451</v>
      </c>
      <c r="D118" s="24" t="s">
        <v>537</v>
      </c>
      <c r="E118" s="24" t="s">
        <v>538</v>
      </c>
      <c r="F118" s="24" t="s">
        <v>539</v>
      </c>
      <c r="G118" s="24" t="s">
        <v>643</v>
      </c>
      <c r="H118" s="24" t="s">
        <v>644</v>
      </c>
      <c r="I118" s="24">
        <v>413</v>
      </c>
      <c r="J118" s="24">
        <v>0</v>
      </c>
      <c r="K118" s="24"/>
      <c r="L118" s="24" t="s">
        <v>645</v>
      </c>
      <c r="M118" s="24" t="s">
        <v>646</v>
      </c>
      <c r="N118" s="26" t="s">
        <v>30</v>
      </c>
      <c r="O118" s="26" t="str">
        <f>IF(NOT("https://www.true-markets.net/media/360tour/housing-bank/413/index.html" = ""), HYPERLINK("https://www.true-markets.net/media/360tour/housing-bank/413/index.html", "جولة"), "")</f>
        <v>جولة</v>
      </c>
      <c r="P118" s="26" t="str">
        <f>IF(NOT("https://maps.app.goo.gl/TP9Z9iRqcqTAfn4d6" = ""), HYPERLINK("https://maps.app.goo.gl/TP9Z9iRqcqTAfn4d6", "موقع"), "")</f>
        <v>موقع</v>
      </c>
      <c r="Q118" s="24">
        <v>547000</v>
      </c>
      <c r="R118" s="26" t="str">
        <f t="shared" si="1"/>
        <v>تقديم طلب</v>
      </c>
      <c r="S118" s="32" t="s">
        <v>4090</v>
      </c>
    </row>
    <row r="119" spans="1:19" s="23" customFormat="1" ht="330" x14ac:dyDescent="0.3">
      <c r="A119" s="24" t="s">
        <v>647</v>
      </c>
      <c r="B119" s="25" t="s">
        <v>296</v>
      </c>
      <c r="C119" s="24" t="s">
        <v>463</v>
      </c>
      <c r="D119" s="24" t="s">
        <v>537</v>
      </c>
      <c r="E119" s="24" t="s">
        <v>638</v>
      </c>
      <c r="F119" s="24" t="s">
        <v>639</v>
      </c>
      <c r="G119" s="24" t="s">
        <v>640</v>
      </c>
      <c r="H119" s="24" t="s">
        <v>547</v>
      </c>
      <c r="I119" s="24">
        <v>71</v>
      </c>
      <c r="J119" s="24">
        <v>0</v>
      </c>
      <c r="K119" s="24"/>
      <c r="L119" s="24" t="s">
        <v>648</v>
      </c>
      <c r="M119" s="24" t="s">
        <v>649</v>
      </c>
      <c r="N119" s="26" t="s">
        <v>30</v>
      </c>
      <c r="O119" s="26" t="str">
        <f>IF(NOT("https://truemarkets3d.net/3d-virtual-tour/housingbank-realestate/phase3/aq-lnd-100293/index.html" = ""), HYPERLINK("https://truemarkets3d.net/3d-virtual-tour/housingbank-realestate/phase3/aq-lnd-100293/index.html", "جولة"), "")</f>
        <v>جولة</v>
      </c>
      <c r="P119" s="26" t="str">
        <f>IF(NOT("https://maps.app.goo.gl/s4P155pLxiymNv7CA" = ""), HYPERLINK("https://maps.app.goo.gl/s4P155pLxiymNv7CA", "موقع"), "")</f>
        <v>موقع</v>
      </c>
      <c r="Q119" s="24">
        <v>95000</v>
      </c>
      <c r="R119" s="26" t="str">
        <f t="shared" si="1"/>
        <v>تقديم طلب</v>
      </c>
      <c r="S119" s="32" t="s">
        <v>4091</v>
      </c>
    </row>
    <row r="120" spans="1:19" s="23" customFormat="1" ht="105" x14ac:dyDescent="0.3">
      <c r="A120" s="24" t="s">
        <v>675</v>
      </c>
      <c r="B120" s="25" t="s">
        <v>468</v>
      </c>
      <c r="C120" s="24" t="s">
        <v>469</v>
      </c>
      <c r="D120" s="24" t="s">
        <v>537</v>
      </c>
      <c r="E120" s="24" t="s">
        <v>565</v>
      </c>
      <c r="F120" s="24" t="s">
        <v>615</v>
      </c>
      <c r="G120" s="24" t="s">
        <v>676</v>
      </c>
      <c r="H120" s="24" t="s">
        <v>606</v>
      </c>
      <c r="I120" s="24">
        <v>362</v>
      </c>
      <c r="J120" s="24">
        <v>0</v>
      </c>
      <c r="K120" s="24"/>
      <c r="L120" s="24" t="s">
        <v>677</v>
      </c>
      <c r="M120" s="24" t="s">
        <v>678</v>
      </c>
      <c r="N120" s="26" t="s">
        <v>30</v>
      </c>
      <c r="O120" s="26" t="s">
        <v>30</v>
      </c>
      <c r="P120" s="26" t="str">
        <f>IF(NOT("https://maps.app.goo.gl/RndMpfcw8dcJCyQn6" = ""), HYPERLINK("https://maps.app.goo.gl/RndMpfcw8dcJCyQn6", "موقع"), "")</f>
        <v>موقع</v>
      </c>
      <c r="Q120" s="24">
        <v>89000</v>
      </c>
      <c r="R120" s="26" t="str">
        <f t="shared" si="1"/>
        <v>تقديم طلب</v>
      </c>
      <c r="S120" s="32" t="s">
        <v>4092</v>
      </c>
    </row>
    <row r="121" spans="1:19" s="23" customFormat="1" ht="90" x14ac:dyDescent="0.3">
      <c r="A121" s="24" t="s">
        <v>672</v>
      </c>
      <c r="B121" s="25" t="s">
        <v>468</v>
      </c>
      <c r="C121" s="24" t="s">
        <v>469</v>
      </c>
      <c r="D121" s="24" t="s">
        <v>537</v>
      </c>
      <c r="E121" s="24" t="s">
        <v>565</v>
      </c>
      <c r="F121" s="24" t="s">
        <v>566</v>
      </c>
      <c r="G121" s="24" t="s">
        <v>567</v>
      </c>
      <c r="H121" s="24" t="s">
        <v>568</v>
      </c>
      <c r="I121" s="24">
        <v>998</v>
      </c>
      <c r="J121" s="24">
        <v>0</v>
      </c>
      <c r="K121" s="24"/>
      <c r="L121" s="24" t="s">
        <v>673</v>
      </c>
      <c r="M121" s="24" t="s">
        <v>674</v>
      </c>
      <c r="N121" s="26" t="s">
        <v>30</v>
      </c>
      <c r="O121" s="26" t="str">
        <f>IF(NOT("https://truemarkets3d.net/3d-virtual-tour/housingbank-realestate/phase3/aq-re-100393/index.html" = ""), HYPERLINK("https://truemarkets3d.net/3d-virtual-tour/housingbank-realestate/phase3/aq-re-100393/index.html", "جولة"), "")</f>
        <v>جولة</v>
      </c>
      <c r="P121" s="26" t="str">
        <f>IF(NOT("https://maps.app.goo.gl/ELEPRu9hwMySenZL7" = ""), HYPERLINK("https://maps.app.goo.gl/ELEPRu9hwMySenZL7", "موقع"), "")</f>
        <v>موقع</v>
      </c>
      <c r="Q121" s="24">
        <v>34000</v>
      </c>
      <c r="R121" s="26" t="str">
        <f t="shared" si="1"/>
        <v>تقديم طلب</v>
      </c>
      <c r="S121" s="32" t="s">
        <v>4093</v>
      </c>
    </row>
    <row r="122" spans="1:19" s="23" customFormat="1" ht="105" x14ac:dyDescent="0.3">
      <c r="A122" s="24" t="s">
        <v>667</v>
      </c>
      <c r="B122" s="25" t="s">
        <v>468</v>
      </c>
      <c r="C122" s="24" t="s">
        <v>469</v>
      </c>
      <c r="D122" s="24" t="s">
        <v>537</v>
      </c>
      <c r="E122" s="24" t="s">
        <v>538</v>
      </c>
      <c r="F122" s="24" t="s">
        <v>668</v>
      </c>
      <c r="G122" s="24" t="s">
        <v>669</v>
      </c>
      <c r="H122" s="24" t="s">
        <v>547</v>
      </c>
      <c r="I122" s="24">
        <v>123</v>
      </c>
      <c r="J122" s="24">
        <v>0</v>
      </c>
      <c r="K122" s="24"/>
      <c r="L122" s="24" t="s">
        <v>670</v>
      </c>
      <c r="M122" s="24" t="s">
        <v>671</v>
      </c>
      <c r="N122" s="26" t="s">
        <v>30</v>
      </c>
      <c r="O122" s="26" t="s">
        <v>30</v>
      </c>
      <c r="P122" s="26" t="str">
        <f>IF(NOT("https://maps.app.goo.gl/PKzqrQdSNAr7rMaD6" = ""), HYPERLINK("https://maps.app.goo.gl/PKzqrQdSNAr7rMaD6", "موقع"), "")</f>
        <v>موقع</v>
      </c>
      <c r="Q122" s="24">
        <v>29000</v>
      </c>
      <c r="R122" s="26" t="str">
        <f t="shared" si="1"/>
        <v>تقديم طلب</v>
      </c>
      <c r="S122" s="32" t="s">
        <v>4094</v>
      </c>
    </row>
    <row r="123" spans="1:19" s="23" customFormat="1" ht="210" x14ac:dyDescent="0.3">
      <c r="A123" s="24" t="s">
        <v>661</v>
      </c>
      <c r="B123" s="25" t="s">
        <v>468</v>
      </c>
      <c r="C123" s="24" t="s">
        <v>469</v>
      </c>
      <c r="D123" s="24" t="s">
        <v>537</v>
      </c>
      <c r="E123" s="24" t="s">
        <v>538</v>
      </c>
      <c r="F123" s="24" t="s">
        <v>662</v>
      </c>
      <c r="G123" s="24" t="s">
        <v>663</v>
      </c>
      <c r="H123" s="24" t="s">
        <v>664</v>
      </c>
      <c r="I123" s="24">
        <v>151</v>
      </c>
      <c r="J123" s="24">
        <v>0</v>
      </c>
      <c r="K123" s="24"/>
      <c r="L123" s="24" t="s">
        <v>665</v>
      </c>
      <c r="M123" s="24" t="s">
        <v>666</v>
      </c>
      <c r="N123" s="26" t="s">
        <v>30</v>
      </c>
      <c r="O123" s="26" t="s">
        <v>30</v>
      </c>
      <c r="P123" s="26" t="str">
        <f>IF(NOT("https://maps.app.goo.gl/kZpH61LGfRkMrLKi6" = ""), HYPERLINK("https://maps.app.goo.gl/kZpH61LGfRkMrLKi6", "موقع"), "")</f>
        <v>موقع</v>
      </c>
      <c r="Q123" s="24">
        <v>22000</v>
      </c>
      <c r="R123" s="26" t="str">
        <f t="shared" si="1"/>
        <v>تقديم طلب</v>
      </c>
      <c r="S123" s="32" t="s">
        <v>4095</v>
      </c>
    </row>
    <row r="124" spans="1:19" s="23" customFormat="1" ht="90" x14ac:dyDescent="0.3">
      <c r="A124" s="24" t="s">
        <v>655</v>
      </c>
      <c r="B124" s="25" t="s">
        <v>468</v>
      </c>
      <c r="C124" s="24" t="s">
        <v>469</v>
      </c>
      <c r="D124" s="24" t="s">
        <v>537</v>
      </c>
      <c r="E124" s="24" t="s">
        <v>565</v>
      </c>
      <c r="F124" s="24" t="s">
        <v>566</v>
      </c>
      <c r="G124" s="24" t="s">
        <v>567</v>
      </c>
      <c r="H124" s="24" t="s">
        <v>568</v>
      </c>
      <c r="I124" s="24">
        <v>1029</v>
      </c>
      <c r="J124" s="24">
        <v>0</v>
      </c>
      <c r="K124" s="24"/>
      <c r="L124" s="24" t="s">
        <v>656</v>
      </c>
      <c r="M124" s="24" t="s">
        <v>657</v>
      </c>
      <c r="N124" s="26" t="s">
        <v>30</v>
      </c>
      <c r="O124" s="26" t="str">
        <f>IF(NOT("https://truemarkets3d.net/3d-virtual-tour/housingbank-realestate/phase3/aq-re-100393/index.html" = ""), HYPERLINK("https://truemarkets3d.net/3d-virtual-tour/housingbank-realestate/phase3/aq-re-100393/index.html", "جولة"), "")</f>
        <v>جولة</v>
      </c>
      <c r="P124" s="26" t="str">
        <f>IF(NOT("https://maps.app.goo.gl/PtGf9AVBkxouppTQ6" = ""), HYPERLINK("https://maps.app.goo.gl/PtGf9AVBkxouppTQ6", "موقع"), "")</f>
        <v>موقع</v>
      </c>
      <c r="Q124" s="24">
        <v>20000</v>
      </c>
      <c r="R124" s="26" t="str">
        <f t="shared" si="1"/>
        <v>تقديم طلب</v>
      </c>
      <c r="S124" s="32" t="s">
        <v>4096</v>
      </c>
    </row>
    <row r="125" spans="1:19" s="23" customFormat="1" ht="90" x14ac:dyDescent="0.3">
      <c r="A125" s="24" t="s">
        <v>658</v>
      </c>
      <c r="B125" s="25" t="s">
        <v>468</v>
      </c>
      <c r="C125" s="24" t="s">
        <v>469</v>
      </c>
      <c r="D125" s="24" t="s">
        <v>537</v>
      </c>
      <c r="E125" s="24" t="s">
        <v>565</v>
      </c>
      <c r="F125" s="24" t="s">
        <v>566</v>
      </c>
      <c r="G125" s="24" t="s">
        <v>567</v>
      </c>
      <c r="H125" s="24" t="s">
        <v>568</v>
      </c>
      <c r="I125" s="24">
        <v>1030</v>
      </c>
      <c r="J125" s="24">
        <v>0</v>
      </c>
      <c r="K125" s="24"/>
      <c r="L125" s="24" t="s">
        <v>656</v>
      </c>
      <c r="M125" s="24" t="s">
        <v>659</v>
      </c>
      <c r="N125" s="26" t="s">
        <v>30</v>
      </c>
      <c r="O125" s="26" t="str">
        <f>IF(NOT("https://truemarkets3d.net/3d-virtual-tour/housingbank-realestate/phase3/aq-re-100393/index.html" = ""), HYPERLINK("https://truemarkets3d.net/3d-virtual-tour/housingbank-realestate/phase3/aq-re-100393/index.html", "جولة"), "")</f>
        <v>جولة</v>
      </c>
      <c r="P125" s="26" t="str">
        <f>IF(NOT("https://maps.app.goo.gl/BUJsxtcTZ6v2LhbFA" = ""), HYPERLINK("https://maps.app.goo.gl/BUJsxtcTZ6v2LhbFA", "موقع"), "")</f>
        <v>موقع</v>
      </c>
      <c r="Q125" s="24">
        <v>20000</v>
      </c>
      <c r="R125" s="26" t="str">
        <f t="shared" si="1"/>
        <v>تقديم طلب</v>
      </c>
      <c r="S125" s="32" t="s">
        <v>4097</v>
      </c>
    </row>
    <row r="126" spans="1:19" s="23" customFormat="1" ht="90" x14ac:dyDescent="0.3">
      <c r="A126" s="24" t="s">
        <v>660</v>
      </c>
      <c r="B126" s="25" t="s">
        <v>468</v>
      </c>
      <c r="C126" s="24" t="s">
        <v>469</v>
      </c>
      <c r="D126" s="24" t="s">
        <v>537</v>
      </c>
      <c r="E126" s="24" t="s">
        <v>565</v>
      </c>
      <c r="F126" s="24" t="s">
        <v>566</v>
      </c>
      <c r="G126" s="24" t="s">
        <v>567</v>
      </c>
      <c r="H126" s="24" t="s">
        <v>568</v>
      </c>
      <c r="I126" s="24">
        <v>1028</v>
      </c>
      <c r="J126" s="24">
        <v>0</v>
      </c>
      <c r="K126" s="24"/>
      <c r="L126" s="24" t="s">
        <v>656</v>
      </c>
      <c r="M126" s="24" t="s">
        <v>657</v>
      </c>
      <c r="N126" s="26" t="s">
        <v>30</v>
      </c>
      <c r="O126" s="26" t="str">
        <f>IF(NOT("https://truemarkets3d.net/3d-virtual-tour/housingbank-realestate/phase3/aq-re-100393/index.html" = ""), HYPERLINK("https://truemarkets3d.net/3d-virtual-tour/housingbank-realestate/phase3/aq-re-100393/index.html", "جولة"), "")</f>
        <v>جولة</v>
      </c>
      <c r="P126" s="26" t="str">
        <f>IF(NOT("https://maps.app.goo.gl/gF16esqLTh2gm6z58" = ""), HYPERLINK("https://maps.app.goo.gl/gF16esqLTh2gm6z58", "موقع"), "")</f>
        <v>موقع</v>
      </c>
      <c r="Q126" s="24">
        <v>20000</v>
      </c>
      <c r="R126" s="26" t="str">
        <f t="shared" si="1"/>
        <v>تقديم طلب</v>
      </c>
      <c r="S126" s="32" t="s">
        <v>4098</v>
      </c>
    </row>
    <row r="127" spans="1:19" s="23" customFormat="1" ht="90" x14ac:dyDescent="0.3">
      <c r="A127" s="24" t="s">
        <v>857</v>
      </c>
      <c r="B127" s="25" t="s">
        <v>21</v>
      </c>
      <c r="C127" s="24" t="s">
        <v>59</v>
      </c>
      <c r="D127" s="24" t="s">
        <v>747</v>
      </c>
      <c r="E127" s="24" t="s">
        <v>748</v>
      </c>
      <c r="F127" s="24" t="s">
        <v>812</v>
      </c>
      <c r="G127" s="24" t="s">
        <v>813</v>
      </c>
      <c r="H127" s="24" t="s">
        <v>814</v>
      </c>
      <c r="I127" s="24">
        <v>10390</v>
      </c>
      <c r="J127" s="24">
        <v>102</v>
      </c>
      <c r="K127" s="24" t="s">
        <v>28</v>
      </c>
      <c r="L127" s="24" t="s">
        <v>858</v>
      </c>
      <c r="M127" s="24" t="s">
        <v>859</v>
      </c>
      <c r="N127" s="26" t="s">
        <v>30</v>
      </c>
      <c r="O127" s="26" t="s">
        <v>30</v>
      </c>
      <c r="P127" s="26" t="str">
        <f>IF(NOT("https://maps.app.goo.gl/r1jKBj8YNCiGjmpx9" = ""), HYPERLINK("https://maps.app.goo.gl/r1jKBj8YNCiGjmpx9", "موقع"), "")</f>
        <v>موقع</v>
      </c>
      <c r="Q127" s="24">
        <v>82000</v>
      </c>
      <c r="R127" s="26" t="str">
        <f t="shared" si="1"/>
        <v>تقديم طلب</v>
      </c>
      <c r="S127" s="32" t="s">
        <v>4099</v>
      </c>
    </row>
    <row r="128" spans="1:19" s="23" customFormat="1" ht="90" x14ac:dyDescent="0.3">
      <c r="A128" s="24" t="s">
        <v>854</v>
      </c>
      <c r="B128" s="25" t="s">
        <v>21</v>
      </c>
      <c r="C128" s="24" t="s">
        <v>59</v>
      </c>
      <c r="D128" s="24" t="s">
        <v>747</v>
      </c>
      <c r="E128" s="24" t="s">
        <v>748</v>
      </c>
      <c r="F128" s="24" t="s">
        <v>812</v>
      </c>
      <c r="G128" s="24" t="s">
        <v>813</v>
      </c>
      <c r="H128" s="24" t="s">
        <v>814</v>
      </c>
      <c r="I128" s="24">
        <v>11358</v>
      </c>
      <c r="J128" s="24">
        <v>131</v>
      </c>
      <c r="K128" s="24" t="s">
        <v>55</v>
      </c>
      <c r="L128" s="24" t="s">
        <v>855</v>
      </c>
      <c r="M128" s="24" t="s">
        <v>856</v>
      </c>
      <c r="N128" s="26" t="s">
        <v>30</v>
      </c>
      <c r="O128" s="26" t="s">
        <v>30</v>
      </c>
      <c r="P128" s="26" t="str">
        <f>IF(NOT("https://maps.app.goo.gl/irVVzZfw1xaBdn2d7" = ""), HYPERLINK("https://maps.app.goo.gl/irVVzZfw1xaBdn2d7", "موقع"), "")</f>
        <v>موقع</v>
      </c>
      <c r="Q128" s="24">
        <v>60000</v>
      </c>
      <c r="R128" s="26" t="str">
        <f t="shared" si="1"/>
        <v>تقديم طلب</v>
      </c>
      <c r="S128" s="32" t="s">
        <v>4100</v>
      </c>
    </row>
    <row r="129" spans="1:19" s="23" customFormat="1" ht="90" x14ac:dyDescent="0.3">
      <c r="A129" s="24" t="s">
        <v>852</v>
      </c>
      <c r="B129" s="25" t="s">
        <v>21</v>
      </c>
      <c r="C129" s="24" t="s">
        <v>59</v>
      </c>
      <c r="D129" s="24" t="s">
        <v>747</v>
      </c>
      <c r="E129" s="24" t="s">
        <v>748</v>
      </c>
      <c r="F129" s="24" t="s">
        <v>812</v>
      </c>
      <c r="G129" s="24" t="s">
        <v>813</v>
      </c>
      <c r="H129" s="24" t="s">
        <v>814</v>
      </c>
      <c r="I129" s="24">
        <v>11358</v>
      </c>
      <c r="J129" s="24">
        <v>132</v>
      </c>
      <c r="K129" s="24" t="s">
        <v>43</v>
      </c>
      <c r="L129" s="24" t="s">
        <v>186</v>
      </c>
      <c r="M129" s="24" t="s">
        <v>853</v>
      </c>
      <c r="N129" s="26" t="s">
        <v>30</v>
      </c>
      <c r="O129" s="26" t="s">
        <v>30</v>
      </c>
      <c r="P129" s="26" t="str">
        <f>IF(NOT("https://maps.app.goo.gl/fcKBGywg6fqF7Y9v5" = ""), HYPERLINK("https://maps.app.goo.gl/fcKBGywg6fqF7Y9v5", "موقع"), "")</f>
        <v>موقع</v>
      </c>
      <c r="Q129" s="24">
        <v>58000</v>
      </c>
      <c r="R129" s="26" t="str">
        <f t="shared" si="1"/>
        <v>تقديم طلب</v>
      </c>
      <c r="S129" s="32" t="s">
        <v>4101</v>
      </c>
    </row>
    <row r="130" spans="1:19" s="23" customFormat="1" ht="90" x14ac:dyDescent="0.3">
      <c r="A130" s="24" t="s">
        <v>847</v>
      </c>
      <c r="B130" s="25" t="s">
        <v>21</v>
      </c>
      <c r="C130" s="24" t="s">
        <v>59</v>
      </c>
      <c r="D130" s="24" t="s">
        <v>747</v>
      </c>
      <c r="E130" s="24" t="s">
        <v>748</v>
      </c>
      <c r="F130" s="24" t="s">
        <v>812</v>
      </c>
      <c r="G130" s="24" t="s">
        <v>813</v>
      </c>
      <c r="H130" s="24" t="s">
        <v>814</v>
      </c>
      <c r="I130" s="24">
        <v>5270</v>
      </c>
      <c r="J130" s="24">
        <v>132</v>
      </c>
      <c r="K130" s="24" t="s">
        <v>55</v>
      </c>
      <c r="L130" s="24" t="s">
        <v>160</v>
      </c>
      <c r="M130" s="24" t="s">
        <v>848</v>
      </c>
      <c r="N130" s="26" t="s">
        <v>30</v>
      </c>
      <c r="O130" s="26" t="s">
        <v>30</v>
      </c>
      <c r="P130" s="26" t="s">
        <v>30</v>
      </c>
      <c r="Q130" s="24">
        <v>47000</v>
      </c>
      <c r="R130" s="26" t="str">
        <f t="shared" si="1"/>
        <v>تقديم طلب</v>
      </c>
      <c r="S130" s="32" t="s">
        <v>4102</v>
      </c>
    </row>
    <row r="131" spans="1:19" s="23" customFormat="1" ht="90" x14ac:dyDescent="0.3">
      <c r="A131" s="24" t="s">
        <v>849</v>
      </c>
      <c r="B131" s="25" t="s">
        <v>21</v>
      </c>
      <c r="C131" s="24" t="s">
        <v>59</v>
      </c>
      <c r="D131" s="24" t="s">
        <v>747</v>
      </c>
      <c r="E131" s="24" t="s">
        <v>748</v>
      </c>
      <c r="F131" s="24" t="s">
        <v>812</v>
      </c>
      <c r="G131" s="24" t="s">
        <v>813</v>
      </c>
      <c r="H131" s="24" t="s">
        <v>814</v>
      </c>
      <c r="I131" s="24">
        <v>5905</v>
      </c>
      <c r="J131" s="24">
        <v>101</v>
      </c>
      <c r="K131" s="24" t="s">
        <v>28</v>
      </c>
      <c r="L131" s="24" t="s">
        <v>850</v>
      </c>
      <c r="M131" s="24" t="s">
        <v>851</v>
      </c>
      <c r="N131" s="26" t="s">
        <v>30</v>
      </c>
      <c r="O131" s="26" t="s">
        <v>30</v>
      </c>
      <c r="P131" s="26" t="str">
        <f>IF(NOT("https://maps.app.goo.gl/K6r9TZZ5Cgvjmcq17" = ""), HYPERLINK("https://maps.app.goo.gl/K6r9TZZ5Cgvjmcq17", "موقع"), "")</f>
        <v>موقع</v>
      </c>
      <c r="Q131" s="24">
        <v>47000</v>
      </c>
      <c r="R131" s="26" t="str">
        <f t="shared" si="1"/>
        <v>تقديم طلب</v>
      </c>
      <c r="S131" s="32" t="s">
        <v>4103</v>
      </c>
    </row>
    <row r="132" spans="1:19" s="23" customFormat="1" ht="90" x14ac:dyDescent="0.3">
      <c r="A132" s="24" t="s">
        <v>844</v>
      </c>
      <c r="B132" s="25" t="s">
        <v>21</v>
      </c>
      <c r="C132" s="24" t="s">
        <v>59</v>
      </c>
      <c r="D132" s="24" t="s">
        <v>747</v>
      </c>
      <c r="E132" s="24" t="s">
        <v>748</v>
      </c>
      <c r="F132" s="24" t="s">
        <v>812</v>
      </c>
      <c r="G132" s="24" t="s">
        <v>813</v>
      </c>
      <c r="H132" s="24" t="s">
        <v>814</v>
      </c>
      <c r="I132" s="24">
        <v>11239</v>
      </c>
      <c r="J132" s="24">
        <v>232</v>
      </c>
      <c r="K132" s="24" t="s">
        <v>55</v>
      </c>
      <c r="L132" s="24" t="s">
        <v>845</v>
      </c>
      <c r="M132" s="24" t="s">
        <v>846</v>
      </c>
      <c r="N132" s="26" t="s">
        <v>30</v>
      </c>
      <c r="O132" s="26" t="s">
        <v>30</v>
      </c>
      <c r="P132" s="26" t="s">
        <v>30</v>
      </c>
      <c r="Q132" s="24">
        <v>44000</v>
      </c>
      <c r="R132" s="26" t="str">
        <f t="shared" si="1"/>
        <v>تقديم طلب</v>
      </c>
      <c r="S132" s="32" t="s">
        <v>4104</v>
      </c>
    </row>
    <row r="133" spans="1:19" s="23" customFormat="1" ht="90" x14ac:dyDescent="0.3">
      <c r="A133" s="24" t="s">
        <v>840</v>
      </c>
      <c r="B133" s="25" t="s">
        <v>21</v>
      </c>
      <c r="C133" s="24" t="s">
        <v>59</v>
      </c>
      <c r="D133" s="24" t="s">
        <v>747</v>
      </c>
      <c r="E133" s="24" t="s">
        <v>748</v>
      </c>
      <c r="F133" s="24" t="s">
        <v>812</v>
      </c>
      <c r="G133" s="24" t="s">
        <v>813</v>
      </c>
      <c r="H133" s="24" t="s">
        <v>814</v>
      </c>
      <c r="I133" s="24">
        <v>9160</v>
      </c>
      <c r="J133" s="24">
        <v>112</v>
      </c>
      <c r="K133" s="24" t="s">
        <v>43</v>
      </c>
      <c r="L133" s="24" t="s">
        <v>277</v>
      </c>
      <c r="M133" s="24" t="s">
        <v>841</v>
      </c>
      <c r="N133" s="26" t="s">
        <v>30</v>
      </c>
      <c r="O133" s="26" t="s">
        <v>30</v>
      </c>
      <c r="P133" s="26" t="s">
        <v>30</v>
      </c>
      <c r="Q133" s="24">
        <v>43000</v>
      </c>
      <c r="R133" s="26" t="str">
        <f t="shared" ref="R133:R196" si="2">HYPERLINK(S133,"تقديم طلب")</f>
        <v>تقديم طلب</v>
      </c>
      <c r="S133" s="32" t="s">
        <v>4105</v>
      </c>
    </row>
    <row r="134" spans="1:19" s="23" customFormat="1" ht="90" x14ac:dyDescent="0.3">
      <c r="A134" s="24" t="s">
        <v>842</v>
      </c>
      <c r="B134" s="25" t="s">
        <v>21</v>
      </c>
      <c r="C134" s="24" t="s">
        <v>59</v>
      </c>
      <c r="D134" s="24" t="s">
        <v>747</v>
      </c>
      <c r="E134" s="24" t="s">
        <v>748</v>
      </c>
      <c r="F134" s="24" t="s">
        <v>812</v>
      </c>
      <c r="G134" s="24" t="s">
        <v>813</v>
      </c>
      <c r="H134" s="24" t="s">
        <v>814</v>
      </c>
      <c r="I134" s="24">
        <v>11611</v>
      </c>
      <c r="J134" s="24">
        <v>201</v>
      </c>
      <c r="K134" s="24" t="s">
        <v>43</v>
      </c>
      <c r="L134" s="24" t="s">
        <v>148</v>
      </c>
      <c r="M134" s="24" t="s">
        <v>843</v>
      </c>
      <c r="N134" s="26" t="s">
        <v>30</v>
      </c>
      <c r="O134" s="26" t="s">
        <v>30</v>
      </c>
      <c r="P134" s="26" t="str">
        <f>IF(NOT("https://maps.app.goo.gl/ADdAk1Pb68KLjcqBA" = ""), HYPERLINK("https://maps.app.goo.gl/ADdAk1Pb68KLjcqBA", "موقع"), "")</f>
        <v>موقع</v>
      </c>
      <c r="Q134" s="24">
        <v>43000</v>
      </c>
      <c r="R134" s="26" t="str">
        <f t="shared" si="2"/>
        <v>تقديم طلب</v>
      </c>
      <c r="S134" s="32" t="s">
        <v>4106</v>
      </c>
    </row>
    <row r="135" spans="1:19" s="23" customFormat="1" ht="90" x14ac:dyDescent="0.3">
      <c r="A135" s="24" t="s">
        <v>836</v>
      </c>
      <c r="B135" s="25" t="s">
        <v>21</v>
      </c>
      <c r="C135" s="24" t="s">
        <v>59</v>
      </c>
      <c r="D135" s="24" t="s">
        <v>747</v>
      </c>
      <c r="E135" s="24" t="s">
        <v>748</v>
      </c>
      <c r="F135" s="24" t="s">
        <v>749</v>
      </c>
      <c r="G135" s="24" t="s">
        <v>750</v>
      </c>
      <c r="H135" s="24" t="s">
        <v>751</v>
      </c>
      <c r="I135" s="24">
        <v>139</v>
      </c>
      <c r="J135" s="24">
        <v>111</v>
      </c>
      <c r="K135" s="24" t="s">
        <v>43</v>
      </c>
      <c r="L135" s="24" t="s">
        <v>103</v>
      </c>
      <c r="M135" s="24" t="s">
        <v>752</v>
      </c>
      <c r="N135" s="26" t="s">
        <v>30</v>
      </c>
      <c r="O135" s="26" t="s">
        <v>30</v>
      </c>
      <c r="P135" s="26" t="str">
        <f>IF(NOT("https://maps.app.goo.gl/Lr51HveMk3JcArJx8" = ""), HYPERLINK("https://maps.app.goo.gl/Lr51HveMk3JcArJx8", "موقع"), "")</f>
        <v>موقع</v>
      </c>
      <c r="Q135" s="24">
        <v>37000</v>
      </c>
      <c r="R135" s="26" t="str">
        <f t="shared" si="2"/>
        <v>تقديم طلب</v>
      </c>
      <c r="S135" s="32" t="s">
        <v>4107</v>
      </c>
    </row>
    <row r="136" spans="1:19" s="23" customFormat="1" ht="90" x14ac:dyDescent="0.3">
      <c r="A136" s="24" t="s">
        <v>837</v>
      </c>
      <c r="B136" s="25" t="s">
        <v>21</v>
      </c>
      <c r="C136" s="24" t="s">
        <v>59</v>
      </c>
      <c r="D136" s="24" t="s">
        <v>747</v>
      </c>
      <c r="E136" s="24" t="s">
        <v>748</v>
      </c>
      <c r="F136" s="24" t="s">
        <v>812</v>
      </c>
      <c r="G136" s="24" t="s">
        <v>813</v>
      </c>
      <c r="H136" s="24" t="s">
        <v>814</v>
      </c>
      <c r="I136" s="24">
        <v>2086</v>
      </c>
      <c r="J136" s="24">
        <v>113</v>
      </c>
      <c r="K136" s="24" t="s">
        <v>43</v>
      </c>
      <c r="L136" s="24" t="s">
        <v>838</v>
      </c>
      <c r="M136" s="24" t="s">
        <v>839</v>
      </c>
      <c r="N136" s="26" t="s">
        <v>30</v>
      </c>
      <c r="O136" s="26" t="s">
        <v>30</v>
      </c>
      <c r="P136" s="26" t="s">
        <v>30</v>
      </c>
      <c r="Q136" s="24">
        <v>37000</v>
      </c>
      <c r="R136" s="26" t="str">
        <f t="shared" si="2"/>
        <v>تقديم طلب</v>
      </c>
      <c r="S136" s="32" t="s">
        <v>4108</v>
      </c>
    </row>
    <row r="137" spans="1:19" s="23" customFormat="1" ht="90" x14ac:dyDescent="0.3">
      <c r="A137" s="24" t="s">
        <v>834</v>
      </c>
      <c r="B137" s="25" t="s">
        <v>21</v>
      </c>
      <c r="C137" s="24" t="s">
        <v>59</v>
      </c>
      <c r="D137" s="24" t="s">
        <v>747</v>
      </c>
      <c r="E137" s="24" t="s">
        <v>748</v>
      </c>
      <c r="F137" s="24" t="s">
        <v>812</v>
      </c>
      <c r="G137" s="24" t="s">
        <v>813</v>
      </c>
      <c r="H137" s="24" t="s">
        <v>814</v>
      </c>
      <c r="I137" s="24">
        <v>2078</v>
      </c>
      <c r="J137" s="24">
        <v>231</v>
      </c>
      <c r="K137" s="24" t="s">
        <v>43</v>
      </c>
      <c r="L137" s="24" t="s">
        <v>136</v>
      </c>
      <c r="M137" s="24" t="s">
        <v>835</v>
      </c>
      <c r="N137" s="26" t="s">
        <v>30</v>
      </c>
      <c r="O137" s="26" t="s">
        <v>30</v>
      </c>
      <c r="P137" s="26" t="s">
        <v>30</v>
      </c>
      <c r="Q137" s="24">
        <v>36000</v>
      </c>
      <c r="R137" s="26" t="str">
        <f t="shared" si="2"/>
        <v>تقديم طلب</v>
      </c>
      <c r="S137" s="32" t="s">
        <v>4109</v>
      </c>
    </row>
    <row r="138" spans="1:19" s="23" customFormat="1" ht="90" x14ac:dyDescent="0.3">
      <c r="A138" s="24" t="s">
        <v>832</v>
      </c>
      <c r="B138" s="25" t="s">
        <v>21</v>
      </c>
      <c r="C138" s="24" t="s">
        <v>59</v>
      </c>
      <c r="D138" s="24" t="s">
        <v>747</v>
      </c>
      <c r="E138" s="24" t="s">
        <v>748</v>
      </c>
      <c r="F138" s="24" t="s">
        <v>812</v>
      </c>
      <c r="G138" s="24" t="s">
        <v>813</v>
      </c>
      <c r="H138" s="24" t="s">
        <v>814</v>
      </c>
      <c r="I138" s="24">
        <v>11674</v>
      </c>
      <c r="J138" s="24">
        <v>131</v>
      </c>
      <c r="K138" s="24" t="s">
        <v>43</v>
      </c>
      <c r="L138" s="24" t="s">
        <v>208</v>
      </c>
      <c r="M138" s="24" t="s">
        <v>833</v>
      </c>
      <c r="N138" s="26" t="s">
        <v>30</v>
      </c>
      <c r="O138" s="26" t="s">
        <v>30</v>
      </c>
      <c r="P138" s="26" t="s">
        <v>30</v>
      </c>
      <c r="Q138" s="24">
        <v>34000</v>
      </c>
      <c r="R138" s="26" t="str">
        <f t="shared" si="2"/>
        <v>تقديم طلب</v>
      </c>
      <c r="S138" s="32" t="s">
        <v>4110</v>
      </c>
    </row>
    <row r="139" spans="1:19" s="23" customFormat="1" ht="90" x14ac:dyDescent="0.3">
      <c r="A139" s="24" t="s">
        <v>826</v>
      </c>
      <c r="B139" s="25" t="s">
        <v>21</v>
      </c>
      <c r="C139" s="24" t="s">
        <v>59</v>
      </c>
      <c r="D139" s="24" t="s">
        <v>747</v>
      </c>
      <c r="E139" s="24" t="s">
        <v>748</v>
      </c>
      <c r="F139" s="24" t="s">
        <v>827</v>
      </c>
      <c r="G139" s="24" t="s">
        <v>828</v>
      </c>
      <c r="H139" s="24" t="s">
        <v>829</v>
      </c>
      <c r="I139" s="24">
        <v>279</v>
      </c>
      <c r="J139" s="24">
        <v>111</v>
      </c>
      <c r="K139" s="24" t="s">
        <v>43</v>
      </c>
      <c r="L139" s="24" t="s">
        <v>830</v>
      </c>
      <c r="M139" s="24" t="s">
        <v>831</v>
      </c>
      <c r="N139" s="26" t="s">
        <v>30</v>
      </c>
      <c r="O139" s="26" t="s">
        <v>30</v>
      </c>
      <c r="P139" s="26" t="str">
        <f>IF(NOT("https://maps.app.goo.gl/sKYmv21vEuW86YAH9" = ""), HYPERLINK("https://maps.app.goo.gl/sKYmv21vEuW86YAH9", "موقع"), "")</f>
        <v>موقع</v>
      </c>
      <c r="Q139" s="24">
        <v>31000</v>
      </c>
      <c r="R139" s="26" t="str">
        <f t="shared" si="2"/>
        <v>تقديم طلب</v>
      </c>
      <c r="S139" s="32" t="s">
        <v>4111</v>
      </c>
    </row>
    <row r="140" spans="1:19" s="23" customFormat="1" ht="90" x14ac:dyDescent="0.3">
      <c r="A140" s="24" t="s">
        <v>821</v>
      </c>
      <c r="B140" s="25" t="s">
        <v>21</v>
      </c>
      <c r="C140" s="24" t="s">
        <v>59</v>
      </c>
      <c r="D140" s="24" t="s">
        <v>747</v>
      </c>
      <c r="E140" s="24" t="s">
        <v>748</v>
      </c>
      <c r="F140" s="24" t="s">
        <v>812</v>
      </c>
      <c r="G140" s="24" t="s">
        <v>822</v>
      </c>
      <c r="H140" s="24" t="s">
        <v>823</v>
      </c>
      <c r="I140" s="24">
        <v>5767</v>
      </c>
      <c r="J140" s="24">
        <v>133</v>
      </c>
      <c r="K140" s="24" t="s">
        <v>55</v>
      </c>
      <c r="L140" s="24" t="s">
        <v>824</v>
      </c>
      <c r="M140" s="24" t="s">
        <v>825</v>
      </c>
      <c r="N140" s="26" t="s">
        <v>30</v>
      </c>
      <c r="O140" s="26" t="s">
        <v>30</v>
      </c>
      <c r="P140" s="26" t="s">
        <v>30</v>
      </c>
      <c r="Q140" s="24">
        <v>30000</v>
      </c>
      <c r="R140" s="26" t="str">
        <f t="shared" si="2"/>
        <v>تقديم طلب</v>
      </c>
      <c r="S140" s="32" t="s">
        <v>4112</v>
      </c>
    </row>
    <row r="141" spans="1:19" s="23" customFormat="1" ht="90" x14ac:dyDescent="0.3">
      <c r="A141" s="24" t="s">
        <v>818</v>
      </c>
      <c r="B141" s="25" t="s">
        <v>21</v>
      </c>
      <c r="C141" s="24" t="s">
        <v>59</v>
      </c>
      <c r="D141" s="24" t="s">
        <v>747</v>
      </c>
      <c r="E141" s="24" t="s">
        <v>748</v>
      </c>
      <c r="F141" s="24" t="s">
        <v>754</v>
      </c>
      <c r="G141" s="24" t="s">
        <v>755</v>
      </c>
      <c r="H141" s="24" t="s">
        <v>819</v>
      </c>
      <c r="I141" s="24">
        <v>3081</v>
      </c>
      <c r="J141" s="24">
        <v>131</v>
      </c>
      <c r="K141" s="24" t="s">
        <v>55</v>
      </c>
      <c r="L141" s="24" t="s">
        <v>67</v>
      </c>
      <c r="M141" s="24" t="s">
        <v>820</v>
      </c>
      <c r="N141" s="26" t="s">
        <v>30</v>
      </c>
      <c r="O141" s="26" t="s">
        <v>30</v>
      </c>
      <c r="P141" s="26" t="str">
        <f>IF(NOT("https://maps.app.goo.gl/FLwiycD3vFThcT359" = ""), HYPERLINK("https://maps.app.goo.gl/FLwiycD3vFThcT359", "موقع"), "")</f>
        <v>موقع</v>
      </c>
      <c r="Q141" s="24">
        <v>29000</v>
      </c>
      <c r="R141" s="26" t="str">
        <f t="shared" si="2"/>
        <v>تقديم طلب</v>
      </c>
      <c r="S141" s="32" t="s">
        <v>4113</v>
      </c>
    </row>
    <row r="142" spans="1:19" s="23" customFormat="1" ht="90" x14ac:dyDescent="0.3">
      <c r="A142" s="24" t="s">
        <v>816</v>
      </c>
      <c r="B142" s="25" t="s">
        <v>21</v>
      </c>
      <c r="C142" s="24" t="s">
        <v>59</v>
      </c>
      <c r="D142" s="24" t="s">
        <v>747</v>
      </c>
      <c r="E142" s="24" t="s">
        <v>748</v>
      </c>
      <c r="F142" s="24" t="s">
        <v>812</v>
      </c>
      <c r="G142" s="24" t="s">
        <v>813</v>
      </c>
      <c r="H142" s="24" t="s">
        <v>814</v>
      </c>
      <c r="I142" s="24">
        <v>10322</v>
      </c>
      <c r="J142" s="24">
        <v>122</v>
      </c>
      <c r="K142" s="24" t="s">
        <v>73</v>
      </c>
      <c r="L142" s="24" t="s">
        <v>128</v>
      </c>
      <c r="M142" s="24" t="s">
        <v>817</v>
      </c>
      <c r="N142" s="26" t="s">
        <v>30</v>
      </c>
      <c r="O142" s="26" t="s">
        <v>30</v>
      </c>
      <c r="P142" s="26" t="str">
        <f>IF(NOT("https://maps.app.goo.gl/xwKUBLp2ahJEjVGXA" = ""), HYPERLINK("https://maps.app.goo.gl/xwKUBLp2ahJEjVGXA", "موقع"), "")</f>
        <v>موقع</v>
      </c>
      <c r="Q142" s="24">
        <v>28000</v>
      </c>
      <c r="R142" s="26" t="str">
        <f t="shared" si="2"/>
        <v>تقديم طلب</v>
      </c>
      <c r="S142" s="32" t="s">
        <v>4114</v>
      </c>
    </row>
    <row r="143" spans="1:19" s="23" customFormat="1" ht="90" x14ac:dyDescent="0.3">
      <c r="A143" s="24" t="s">
        <v>811</v>
      </c>
      <c r="B143" s="25" t="s">
        <v>21</v>
      </c>
      <c r="C143" s="24" t="s">
        <v>59</v>
      </c>
      <c r="D143" s="24" t="s">
        <v>747</v>
      </c>
      <c r="E143" s="24" t="s">
        <v>748</v>
      </c>
      <c r="F143" s="24" t="s">
        <v>812</v>
      </c>
      <c r="G143" s="24" t="s">
        <v>813</v>
      </c>
      <c r="H143" s="24" t="s">
        <v>814</v>
      </c>
      <c r="I143" s="24">
        <v>4257</v>
      </c>
      <c r="J143" s="24">
        <v>-101</v>
      </c>
      <c r="K143" s="24" t="s">
        <v>33</v>
      </c>
      <c r="L143" s="24" t="s">
        <v>67</v>
      </c>
      <c r="M143" s="24" t="s">
        <v>815</v>
      </c>
      <c r="N143" s="26" t="s">
        <v>30</v>
      </c>
      <c r="O143" s="26" t="s">
        <v>30</v>
      </c>
      <c r="P143" s="26" t="str">
        <f>IF(NOT("https://maps.app.goo.gl/pBfKHzuy9FCiy7SL6" = ""), HYPERLINK("https://maps.app.goo.gl/pBfKHzuy9FCiy7SL6", "موقع"), "")</f>
        <v>موقع</v>
      </c>
      <c r="Q143" s="24">
        <v>26000</v>
      </c>
      <c r="R143" s="26" t="str">
        <f t="shared" si="2"/>
        <v>تقديم طلب</v>
      </c>
      <c r="S143" s="32" t="s">
        <v>4115</v>
      </c>
    </row>
    <row r="144" spans="1:19" s="23" customFormat="1" ht="90" x14ac:dyDescent="0.3">
      <c r="A144" s="24" t="s">
        <v>809</v>
      </c>
      <c r="B144" s="25" t="s">
        <v>21</v>
      </c>
      <c r="C144" s="24" t="s">
        <v>59</v>
      </c>
      <c r="D144" s="24" t="s">
        <v>747</v>
      </c>
      <c r="E144" s="24" t="s">
        <v>748</v>
      </c>
      <c r="F144" s="24" t="s">
        <v>768</v>
      </c>
      <c r="G144" s="24" t="s">
        <v>769</v>
      </c>
      <c r="H144" s="24" t="s">
        <v>770</v>
      </c>
      <c r="I144" s="24">
        <v>881</v>
      </c>
      <c r="J144" s="24">
        <v>113</v>
      </c>
      <c r="K144" s="24" t="s">
        <v>43</v>
      </c>
      <c r="L144" s="24" t="s">
        <v>786</v>
      </c>
      <c r="M144" s="24" t="s">
        <v>810</v>
      </c>
      <c r="N144" s="26" t="s">
        <v>30</v>
      </c>
      <c r="O144" s="26" t="s">
        <v>30</v>
      </c>
      <c r="P144" s="26" t="s">
        <v>30</v>
      </c>
      <c r="Q144" s="24">
        <v>24000</v>
      </c>
      <c r="R144" s="26" t="str">
        <f t="shared" si="2"/>
        <v>تقديم طلب</v>
      </c>
      <c r="S144" s="32" t="s">
        <v>4116</v>
      </c>
    </row>
    <row r="145" spans="1:19" s="23" customFormat="1" ht="90" x14ac:dyDescent="0.3">
      <c r="A145" s="24" t="s">
        <v>801</v>
      </c>
      <c r="B145" s="25" t="s">
        <v>21</v>
      </c>
      <c r="C145" s="24" t="s">
        <v>59</v>
      </c>
      <c r="D145" s="24" t="s">
        <v>747</v>
      </c>
      <c r="E145" s="24" t="s">
        <v>748</v>
      </c>
      <c r="F145" s="24" t="s">
        <v>768</v>
      </c>
      <c r="G145" s="24" t="s">
        <v>769</v>
      </c>
      <c r="H145" s="24" t="s">
        <v>770</v>
      </c>
      <c r="I145" s="24">
        <v>924</v>
      </c>
      <c r="J145" s="24">
        <v>124</v>
      </c>
      <c r="K145" s="24" t="s">
        <v>73</v>
      </c>
      <c r="L145" s="24" t="s">
        <v>802</v>
      </c>
      <c r="M145" s="24" t="s">
        <v>803</v>
      </c>
      <c r="N145" s="26" t="s">
        <v>30</v>
      </c>
      <c r="O145" s="26" t="s">
        <v>30</v>
      </c>
      <c r="P145" s="26" t="str">
        <f>IF(NOT("https://maps.app.goo.gl/CaAziHTC1ykb6X9UA" = ""), HYPERLINK("https://maps.app.goo.gl/CaAziHTC1ykb6X9UA", "موقع"), "")</f>
        <v>موقع</v>
      </c>
      <c r="Q145" s="24">
        <v>23000</v>
      </c>
      <c r="R145" s="26" t="str">
        <f t="shared" si="2"/>
        <v>تقديم طلب</v>
      </c>
      <c r="S145" s="32" t="s">
        <v>4117</v>
      </c>
    </row>
    <row r="146" spans="1:19" s="23" customFormat="1" ht="90" x14ac:dyDescent="0.3">
      <c r="A146" s="24" t="s">
        <v>804</v>
      </c>
      <c r="B146" s="25" t="s">
        <v>21</v>
      </c>
      <c r="C146" s="24" t="s">
        <v>59</v>
      </c>
      <c r="D146" s="24" t="s">
        <v>747</v>
      </c>
      <c r="E146" s="24" t="s">
        <v>748</v>
      </c>
      <c r="F146" s="24" t="s">
        <v>768</v>
      </c>
      <c r="G146" s="24" t="s">
        <v>769</v>
      </c>
      <c r="H146" s="24" t="s">
        <v>770</v>
      </c>
      <c r="I146" s="24">
        <v>871</v>
      </c>
      <c r="J146" s="24">
        <v>121</v>
      </c>
      <c r="K146" s="24" t="s">
        <v>73</v>
      </c>
      <c r="L146" s="24" t="s">
        <v>805</v>
      </c>
      <c r="M146" s="24" t="s">
        <v>806</v>
      </c>
      <c r="N146" s="26" t="s">
        <v>30</v>
      </c>
      <c r="O146" s="26" t="s">
        <v>30</v>
      </c>
      <c r="P146" s="26" t="str">
        <f>IF(NOT("https://maps.app.goo.gl/5GeiL9KaKbAcKz6CA" = ""), HYPERLINK("https://maps.app.goo.gl/5GeiL9KaKbAcKz6CA", "موقع"), "")</f>
        <v>موقع</v>
      </c>
      <c r="Q146" s="24">
        <v>23000</v>
      </c>
      <c r="R146" s="26" t="str">
        <f t="shared" si="2"/>
        <v>تقديم طلب</v>
      </c>
      <c r="S146" s="32" t="s">
        <v>4118</v>
      </c>
    </row>
    <row r="147" spans="1:19" s="23" customFormat="1" ht="90" x14ac:dyDescent="0.3">
      <c r="A147" s="24" t="s">
        <v>807</v>
      </c>
      <c r="B147" s="25" t="s">
        <v>21</v>
      </c>
      <c r="C147" s="24" t="s">
        <v>59</v>
      </c>
      <c r="D147" s="24" t="s">
        <v>747</v>
      </c>
      <c r="E147" s="24" t="s">
        <v>748</v>
      </c>
      <c r="F147" s="24" t="s">
        <v>768</v>
      </c>
      <c r="G147" s="24" t="s">
        <v>769</v>
      </c>
      <c r="H147" s="24" t="s">
        <v>770</v>
      </c>
      <c r="I147" s="24">
        <v>936</v>
      </c>
      <c r="J147" s="24">
        <v>104</v>
      </c>
      <c r="K147" s="24" t="s">
        <v>28</v>
      </c>
      <c r="L147" s="24" t="s">
        <v>802</v>
      </c>
      <c r="M147" s="24" t="s">
        <v>808</v>
      </c>
      <c r="N147" s="26" t="s">
        <v>30</v>
      </c>
      <c r="O147" s="26" t="s">
        <v>30</v>
      </c>
      <c r="P147" s="26" t="str">
        <f>IF(NOT("https://maps.app.goo.gl/LhEUMhhPFrEyAu7o7" = ""), HYPERLINK("https://maps.app.goo.gl/LhEUMhhPFrEyAu7o7", "موقع"), "")</f>
        <v>موقع</v>
      </c>
      <c r="Q147" s="24">
        <v>23000</v>
      </c>
      <c r="R147" s="26" t="str">
        <f t="shared" si="2"/>
        <v>تقديم طلب</v>
      </c>
      <c r="S147" s="32" t="s">
        <v>4119</v>
      </c>
    </row>
    <row r="148" spans="1:19" s="23" customFormat="1" ht="90" x14ac:dyDescent="0.3">
      <c r="A148" s="24" t="s">
        <v>799</v>
      </c>
      <c r="B148" s="25" t="s">
        <v>21</v>
      </c>
      <c r="C148" s="24" t="s">
        <v>59</v>
      </c>
      <c r="D148" s="24" t="s">
        <v>747</v>
      </c>
      <c r="E148" s="24" t="s">
        <v>748</v>
      </c>
      <c r="F148" s="24" t="s">
        <v>768</v>
      </c>
      <c r="G148" s="24" t="s">
        <v>769</v>
      </c>
      <c r="H148" s="24" t="s">
        <v>770</v>
      </c>
      <c r="I148" s="24">
        <v>880</v>
      </c>
      <c r="J148" s="24">
        <v>114</v>
      </c>
      <c r="K148" s="24" t="s">
        <v>43</v>
      </c>
      <c r="L148" s="24" t="s">
        <v>786</v>
      </c>
      <c r="M148" s="24" t="s">
        <v>800</v>
      </c>
      <c r="N148" s="26" t="s">
        <v>30</v>
      </c>
      <c r="O148" s="26" t="s">
        <v>30</v>
      </c>
      <c r="P148" s="26" t="str">
        <f>IF(NOT("https://maps.app.goo.gl/wx7BCUua3V5JrTFD7" = ""), HYPERLINK("https://maps.app.goo.gl/wx7BCUua3V5JrTFD7", "موقع"), "")</f>
        <v>موقع</v>
      </c>
      <c r="Q148" s="24">
        <v>22000</v>
      </c>
      <c r="R148" s="26" t="str">
        <f t="shared" si="2"/>
        <v>تقديم طلب</v>
      </c>
      <c r="S148" s="32" t="s">
        <v>4120</v>
      </c>
    </row>
    <row r="149" spans="1:19" s="23" customFormat="1" ht="90" x14ac:dyDescent="0.3">
      <c r="A149" s="24" t="s">
        <v>791</v>
      </c>
      <c r="B149" s="25" t="s">
        <v>21</v>
      </c>
      <c r="C149" s="24" t="s">
        <v>59</v>
      </c>
      <c r="D149" s="24" t="s">
        <v>747</v>
      </c>
      <c r="E149" s="24" t="s">
        <v>748</v>
      </c>
      <c r="F149" s="24" t="s">
        <v>760</v>
      </c>
      <c r="G149" s="24" t="s">
        <v>761</v>
      </c>
      <c r="H149" s="24" t="s">
        <v>762</v>
      </c>
      <c r="I149" s="24">
        <v>786</v>
      </c>
      <c r="J149" s="24">
        <v>101</v>
      </c>
      <c r="K149" s="24" t="s">
        <v>28</v>
      </c>
      <c r="L149" s="24" t="s">
        <v>277</v>
      </c>
      <c r="M149" s="24" t="s">
        <v>792</v>
      </c>
      <c r="N149" s="26" t="s">
        <v>30</v>
      </c>
      <c r="O149" s="26" t="s">
        <v>30</v>
      </c>
      <c r="P149" s="26" t="s">
        <v>30</v>
      </c>
      <c r="Q149" s="24">
        <v>21000</v>
      </c>
      <c r="R149" s="26" t="str">
        <f t="shared" si="2"/>
        <v>تقديم طلب</v>
      </c>
      <c r="S149" s="32" t="s">
        <v>4121</v>
      </c>
    </row>
    <row r="150" spans="1:19" s="23" customFormat="1" ht="90" x14ac:dyDescent="0.3">
      <c r="A150" s="24" t="s">
        <v>793</v>
      </c>
      <c r="B150" s="25" t="s">
        <v>21</v>
      </c>
      <c r="C150" s="24" t="s">
        <v>59</v>
      </c>
      <c r="D150" s="24" t="s">
        <v>747</v>
      </c>
      <c r="E150" s="24" t="s">
        <v>748</v>
      </c>
      <c r="F150" s="24" t="s">
        <v>794</v>
      </c>
      <c r="G150" s="24" t="s">
        <v>795</v>
      </c>
      <c r="H150" s="24" t="s">
        <v>796</v>
      </c>
      <c r="I150" s="24">
        <v>954</v>
      </c>
      <c r="J150" s="24">
        <v>-102</v>
      </c>
      <c r="K150" s="24" t="s">
        <v>33</v>
      </c>
      <c r="L150" s="24" t="s">
        <v>797</v>
      </c>
      <c r="M150" s="24" t="s">
        <v>798</v>
      </c>
      <c r="N150" s="26" t="s">
        <v>30</v>
      </c>
      <c r="O150" s="26" t="s">
        <v>30</v>
      </c>
      <c r="P150" s="26" t="s">
        <v>30</v>
      </c>
      <c r="Q150" s="24">
        <v>21000</v>
      </c>
      <c r="R150" s="26" t="str">
        <f t="shared" si="2"/>
        <v>تقديم طلب</v>
      </c>
      <c r="S150" s="32" t="s">
        <v>4122</v>
      </c>
    </row>
    <row r="151" spans="1:19" s="23" customFormat="1" ht="90" x14ac:dyDescent="0.3">
      <c r="A151" s="24" t="s">
        <v>779</v>
      </c>
      <c r="B151" s="25" t="s">
        <v>21</v>
      </c>
      <c r="C151" s="24" t="s">
        <v>59</v>
      </c>
      <c r="D151" s="24" t="s">
        <v>747</v>
      </c>
      <c r="E151" s="24" t="s">
        <v>748</v>
      </c>
      <c r="F151" s="24" t="s">
        <v>780</v>
      </c>
      <c r="G151" s="24" t="s">
        <v>781</v>
      </c>
      <c r="H151" s="24" t="s">
        <v>782</v>
      </c>
      <c r="I151" s="24">
        <v>701</v>
      </c>
      <c r="J151" s="24">
        <v>113</v>
      </c>
      <c r="K151" s="24" t="s">
        <v>43</v>
      </c>
      <c r="L151" s="24" t="s">
        <v>783</v>
      </c>
      <c r="M151" s="24" t="s">
        <v>784</v>
      </c>
      <c r="N151" s="26" t="s">
        <v>30</v>
      </c>
      <c r="O151" s="26" t="s">
        <v>30</v>
      </c>
      <c r="P151" s="26" t="str">
        <f>IF(NOT("https://maps.app.goo.gl/kSmHhrt5qJAVUmas7" = ""), HYPERLINK("https://maps.app.goo.gl/kSmHhrt5qJAVUmas7", "موقع"), "")</f>
        <v>موقع</v>
      </c>
      <c r="Q151" s="24">
        <v>20000</v>
      </c>
      <c r="R151" s="26" t="str">
        <f t="shared" si="2"/>
        <v>تقديم طلب</v>
      </c>
      <c r="S151" s="32" t="s">
        <v>4123</v>
      </c>
    </row>
    <row r="152" spans="1:19" s="23" customFormat="1" ht="90" x14ac:dyDescent="0.3">
      <c r="A152" s="24" t="s">
        <v>785</v>
      </c>
      <c r="B152" s="25" t="s">
        <v>21</v>
      </c>
      <c r="C152" s="24" t="s">
        <v>59</v>
      </c>
      <c r="D152" s="24" t="s">
        <v>747</v>
      </c>
      <c r="E152" s="24" t="s">
        <v>748</v>
      </c>
      <c r="F152" s="24" t="s">
        <v>754</v>
      </c>
      <c r="G152" s="24" t="s">
        <v>755</v>
      </c>
      <c r="H152" s="24" t="s">
        <v>756</v>
      </c>
      <c r="I152" s="24">
        <v>482</v>
      </c>
      <c r="J152" s="24">
        <v>113</v>
      </c>
      <c r="K152" s="24" t="s">
        <v>43</v>
      </c>
      <c r="L152" s="24" t="s">
        <v>786</v>
      </c>
      <c r="M152" s="24" t="s">
        <v>787</v>
      </c>
      <c r="N152" s="26" t="s">
        <v>30</v>
      </c>
      <c r="O152" s="26" t="s">
        <v>30</v>
      </c>
      <c r="P152" s="26" t="str">
        <f>IF(NOT("https://maps.app.goo.gl/Q4DrXSo4TcHdgM757" = ""), HYPERLINK("https://maps.app.goo.gl/Q4DrXSo4TcHdgM757", "موقع"), "")</f>
        <v>موقع</v>
      </c>
      <c r="Q152" s="24">
        <v>20000</v>
      </c>
      <c r="R152" s="26" t="str">
        <f t="shared" si="2"/>
        <v>تقديم طلب</v>
      </c>
      <c r="S152" s="32" t="s">
        <v>4124</v>
      </c>
    </row>
    <row r="153" spans="1:19" s="23" customFormat="1" ht="90" x14ac:dyDescent="0.3">
      <c r="A153" s="24" t="s">
        <v>788</v>
      </c>
      <c r="B153" s="25" t="s">
        <v>21</v>
      </c>
      <c r="C153" s="24" t="s">
        <v>59</v>
      </c>
      <c r="D153" s="24" t="s">
        <v>747</v>
      </c>
      <c r="E153" s="24" t="s">
        <v>748</v>
      </c>
      <c r="F153" s="24" t="s">
        <v>754</v>
      </c>
      <c r="G153" s="24" t="s">
        <v>755</v>
      </c>
      <c r="H153" s="24" t="s">
        <v>789</v>
      </c>
      <c r="I153" s="24">
        <v>3308</v>
      </c>
      <c r="J153" s="24">
        <v>112</v>
      </c>
      <c r="K153" s="24" t="s">
        <v>43</v>
      </c>
      <c r="L153" s="24" t="s">
        <v>115</v>
      </c>
      <c r="M153" s="24" t="s">
        <v>790</v>
      </c>
      <c r="N153" s="26" t="s">
        <v>30</v>
      </c>
      <c r="O153" s="26" t="s">
        <v>30</v>
      </c>
      <c r="P153" s="26" t="s">
        <v>30</v>
      </c>
      <c r="Q153" s="24">
        <v>20000</v>
      </c>
      <c r="R153" s="26" t="str">
        <f t="shared" si="2"/>
        <v>تقديم طلب</v>
      </c>
      <c r="S153" s="32" t="s">
        <v>4125</v>
      </c>
    </row>
    <row r="154" spans="1:19" s="23" customFormat="1" ht="90" x14ac:dyDescent="0.3">
      <c r="A154" s="24" t="s">
        <v>767</v>
      </c>
      <c r="B154" s="25" t="s">
        <v>21</v>
      </c>
      <c r="C154" s="24" t="s">
        <v>59</v>
      </c>
      <c r="D154" s="24" t="s">
        <v>747</v>
      </c>
      <c r="E154" s="24" t="s">
        <v>748</v>
      </c>
      <c r="F154" s="24" t="s">
        <v>768</v>
      </c>
      <c r="G154" s="24" t="s">
        <v>769</v>
      </c>
      <c r="H154" s="24" t="s">
        <v>770</v>
      </c>
      <c r="I154" s="24">
        <v>908</v>
      </c>
      <c r="J154" s="24">
        <v>113</v>
      </c>
      <c r="K154" s="24" t="s">
        <v>43</v>
      </c>
      <c r="L154" s="24" t="s">
        <v>771</v>
      </c>
      <c r="M154" s="24" t="s">
        <v>772</v>
      </c>
      <c r="N154" s="26" t="s">
        <v>30</v>
      </c>
      <c r="O154" s="26" t="s">
        <v>30</v>
      </c>
      <c r="P154" s="26" t="str">
        <f>IF(NOT("https://maps.app.goo.gl/q8WZkNESRigaBnKe6" = ""), HYPERLINK("https://maps.app.goo.gl/q8WZkNESRigaBnKe6", "موقع"), "")</f>
        <v>موقع</v>
      </c>
      <c r="Q154" s="24">
        <v>19000</v>
      </c>
      <c r="R154" s="26" t="str">
        <f t="shared" si="2"/>
        <v>تقديم طلب</v>
      </c>
      <c r="S154" s="32" t="s">
        <v>4126</v>
      </c>
    </row>
    <row r="155" spans="1:19" s="23" customFormat="1" ht="90" x14ac:dyDescent="0.3">
      <c r="A155" s="24" t="s">
        <v>773</v>
      </c>
      <c r="B155" s="25" t="s">
        <v>21</v>
      </c>
      <c r="C155" s="24" t="s">
        <v>59</v>
      </c>
      <c r="D155" s="24" t="s">
        <v>747</v>
      </c>
      <c r="E155" s="24" t="s">
        <v>748</v>
      </c>
      <c r="F155" s="24" t="s">
        <v>774</v>
      </c>
      <c r="G155" s="24" t="s">
        <v>775</v>
      </c>
      <c r="H155" s="24" t="s">
        <v>776</v>
      </c>
      <c r="I155" s="24">
        <v>1932</v>
      </c>
      <c r="J155" s="24">
        <v>111</v>
      </c>
      <c r="K155" s="24" t="s">
        <v>43</v>
      </c>
      <c r="L155" s="24" t="s">
        <v>777</v>
      </c>
      <c r="M155" s="24" t="s">
        <v>778</v>
      </c>
      <c r="N155" s="26" t="s">
        <v>30</v>
      </c>
      <c r="O155" s="26" t="s">
        <v>30</v>
      </c>
      <c r="P155" s="26" t="str">
        <f>IF(NOT("https://maps.app.goo.gl/h9vkGZTUK3shCgVa7" = ""), HYPERLINK("https://maps.app.goo.gl/h9vkGZTUK3shCgVa7", "موقع"), "")</f>
        <v>موقع</v>
      </c>
      <c r="Q155" s="24">
        <v>19000</v>
      </c>
      <c r="R155" s="26" t="str">
        <f t="shared" si="2"/>
        <v>تقديم طلب</v>
      </c>
      <c r="S155" s="32" t="s">
        <v>4127</v>
      </c>
    </row>
    <row r="156" spans="1:19" s="23" customFormat="1" ht="105" x14ac:dyDescent="0.3">
      <c r="A156" s="24" t="s">
        <v>759</v>
      </c>
      <c r="B156" s="25" t="s">
        <v>21</v>
      </c>
      <c r="C156" s="24" t="s">
        <v>59</v>
      </c>
      <c r="D156" s="24" t="s">
        <v>747</v>
      </c>
      <c r="E156" s="24" t="s">
        <v>748</v>
      </c>
      <c r="F156" s="24" t="s">
        <v>760</v>
      </c>
      <c r="G156" s="24" t="s">
        <v>761</v>
      </c>
      <c r="H156" s="24" t="s">
        <v>762</v>
      </c>
      <c r="I156" s="24">
        <v>786</v>
      </c>
      <c r="J156" s="24">
        <v>112</v>
      </c>
      <c r="K156" s="24" t="s">
        <v>43</v>
      </c>
      <c r="L156" s="24" t="s">
        <v>282</v>
      </c>
      <c r="M156" s="24" t="s">
        <v>763</v>
      </c>
      <c r="N156" s="26" t="s">
        <v>30</v>
      </c>
      <c r="O156" s="26" t="s">
        <v>30</v>
      </c>
      <c r="P156" s="26" t="s">
        <v>30</v>
      </c>
      <c r="Q156" s="24">
        <v>17000</v>
      </c>
      <c r="R156" s="26" t="str">
        <f t="shared" si="2"/>
        <v>تقديم طلب</v>
      </c>
      <c r="S156" s="32" t="s">
        <v>4128</v>
      </c>
    </row>
    <row r="157" spans="1:19" s="23" customFormat="1" ht="90" x14ac:dyDescent="0.3">
      <c r="A157" s="24" t="s">
        <v>764</v>
      </c>
      <c r="B157" s="25" t="s">
        <v>21</v>
      </c>
      <c r="C157" s="24" t="s">
        <v>59</v>
      </c>
      <c r="D157" s="24" t="s">
        <v>747</v>
      </c>
      <c r="E157" s="24" t="s">
        <v>748</v>
      </c>
      <c r="F157" s="24" t="s">
        <v>760</v>
      </c>
      <c r="G157" s="24" t="s">
        <v>765</v>
      </c>
      <c r="H157" s="24" t="s">
        <v>762</v>
      </c>
      <c r="I157" s="24">
        <v>616</v>
      </c>
      <c r="J157" s="24">
        <v>121</v>
      </c>
      <c r="K157" s="24" t="s">
        <v>73</v>
      </c>
      <c r="L157" s="24" t="s">
        <v>128</v>
      </c>
      <c r="M157" s="24" t="s">
        <v>766</v>
      </c>
      <c r="N157" s="26" t="s">
        <v>30</v>
      </c>
      <c r="O157" s="26" t="s">
        <v>30</v>
      </c>
      <c r="P157" s="26" t="str">
        <f>IF(NOT("https://maps.app.goo.gl/Vofq87D3rfv8wWtp8" = ""), HYPERLINK("https://maps.app.goo.gl/Vofq87D3rfv8wWtp8", "موقع"), "")</f>
        <v>موقع</v>
      </c>
      <c r="Q157" s="24">
        <v>17000</v>
      </c>
      <c r="R157" s="26" t="str">
        <f t="shared" si="2"/>
        <v>تقديم طلب</v>
      </c>
      <c r="S157" s="32" t="s">
        <v>4129</v>
      </c>
    </row>
    <row r="158" spans="1:19" s="23" customFormat="1" ht="90" x14ac:dyDescent="0.3">
      <c r="A158" s="24" t="s">
        <v>753</v>
      </c>
      <c r="B158" s="25" t="s">
        <v>21</v>
      </c>
      <c r="C158" s="24" t="s">
        <v>59</v>
      </c>
      <c r="D158" s="24" t="s">
        <v>747</v>
      </c>
      <c r="E158" s="24" t="s">
        <v>748</v>
      </c>
      <c r="F158" s="24" t="s">
        <v>754</v>
      </c>
      <c r="G158" s="24" t="s">
        <v>755</v>
      </c>
      <c r="H158" s="24" t="s">
        <v>756</v>
      </c>
      <c r="I158" s="24">
        <v>482</v>
      </c>
      <c r="J158" s="24">
        <v>112</v>
      </c>
      <c r="K158" s="24" t="s">
        <v>43</v>
      </c>
      <c r="L158" s="24" t="s">
        <v>757</v>
      </c>
      <c r="M158" s="24" t="s">
        <v>758</v>
      </c>
      <c r="N158" s="26" t="s">
        <v>30</v>
      </c>
      <c r="O158" s="26" t="s">
        <v>30</v>
      </c>
      <c r="P158" s="26" t="str">
        <f>IF(NOT("https://maps.app.goo.gl/Q4DrXSo4TcHdgM757" = ""), HYPERLINK("https://maps.app.goo.gl/Q4DrXSo4TcHdgM757", "موقع"), "")</f>
        <v>موقع</v>
      </c>
      <c r="Q158" s="24">
        <v>15000</v>
      </c>
      <c r="R158" s="26" t="str">
        <f t="shared" si="2"/>
        <v>تقديم طلب</v>
      </c>
      <c r="S158" s="32" t="s">
        <v>4130</v>
      </c>
    </row>
    <row r="159" spans="1:19" s="23" customFormat="1" ht="90" x14ac:dyDescent="0.3">
      <c r="A159" s="24" t="s">
        <v>746</v>
      </c>
      <c r="B159" s="25" t="s">
        <v>21</v>
      </c>
      <c r="C159" s="24" t="s">
        <v>59</v>
      </c>
      <c r="D159" s="24" t="s">
        <v>747</v>
      </c>
      <c r="E159" s="24" t="s">
        <v>748</v>
      </c>
      <c r="F159" s="24" t="s">
        <v>749</v>
      </c>
      <c r="G159" s="24" t="s">
        <v>750</v>
      </c>
      <c r="H159" s="24" t="s">
        <v>751</v>
      </c>
      <c r="I159" s="24">
        <v>139</v>
      </c>
      <c r="J159" s="24">
        <v>121</v>
      </c>
      <c r="K159" s="24" t="s">
        <v>73</v>
      </c>
      <c r="L159" s="24" t="s">
        <v>103</v>
      </c>
      <c r="M159" s="24" t="s">
        <v>752</v>
      </c>
      <c r="N159" s="26" t="s">
        <v>30</v>
      </c>
      <c r="O159" s="26" t="s">
        <v>30</v>
      </c>
      <c r="P159" s="26" t="str">
        <f>IF(NOT("https://maps.app.goo.gl/Lr51HveMk3JcArJx8" = ""), HYPERLINK("https://maps.app.goo.gl/Lr51HveMk3JcArJx8", "موقع"), "")</f>
        <v>موقع</v>
      </c>
      <c r="Q159" s="24">
        <v>5000</v>
      </c>
      <c r="R159" s="26" t="str">
        <f t="shared" si="2"/>
        <v>تقديم طلب</v>
      </c>
      <c r="S159" s="32" t="s">
        <v>4131</v>
      </c>
    </row>
    <row r="160" spans="1:19" s="23" customFormat="1" ht="315" x14ac:dyDescent="0.3">
      <c r="A160" s="24" t="s">
        <v>874</v>
      </c>
      <c r="B160" s="25" t="s">
        <v>296</v>
      </c>
      <c r="C160" s="24" t="s">
        <v>297</v>
      </c>
      <c r="D160" s="24" t="s">
        <v>747</v>
      </c>
      <c r="E160" s="24" t="s">
        <v>748</v>
      </c>
      <c r="F160" s="24" t="s">
        <v>812</v>
      </c>
      <c r="G160" s="24" t="s">
        <v>822</v>
      </c>
      <c r="H160" s="24" t="s">
        <v>814</v>
      </c>
      <c r="I160" s="24">
        <v>3013</v>
      </c>
      <c r="J160" s="24">
        <v>0</v>
      </c>
      <c r="K160" s="24"/>
      <c r="L160" s="24" t="s">
        <v>875</v>
      </c>
      <c r="M160" s="24" t="s">
        <v>876</v>
      </c>
      <c r="N160" s="26" t="s">
        <v>30</v>
      </c>
      <c r="O160" s="26" t="s">
        <v>30</v>
      </c>
      <c r="P160" s="26" t="str">
        <f>IF(NOT("https://maps.app.goo.gl/Wtgit4Xh7fAnRAdk8" = ""), HYPERLINK("https://maps.app.goo.gl/Wtgit4Xh7fAnRAdk8", "موقع"), "")</f>
        <v>موقع</v>
      </c>
      <c r="Q160" s="24">
        <v>361000</v>
      </c>
      <c r="R160" s="26" t="str">
        <f t="shared" si="2"/>
        <v>تقديم طلب</v>
      </c>
      <c r="S160" s="32" t="s">
        <v>4132</v>
      </c>
    </row>
    <row r="161" spans="1:19" s="23" customFormat="1" ht="90" x14ac:dyDescent="0.3">
      <c r="A161" s="24" t="s">
        <v>940</v>
      </c>
      <c r="B161" s="25" t="s">
        <v>296</v>
      </c>
      <c r="C161" s="24" t="s">
        <v>315</v>
      </c>
      <c r="D161" s="24" t="s">
        <v>747</v>
      </c>
      <c r="E161" s="24" t="s">
        <v>748</v>
      </c>
      <c r="F161" s="24" t="s">
        <v>812</v>
      </c>
      <c r="G161" s="24" t="s">
        <v>941</v>
      </c>
      <c r="H161" s="24" t="s">
        <v>814</v>
      </c>
      <c r="I161" s="24">
        <v>437</v>
      </c>
      <c r="J161" s="24"/>
      <c r="K161" s="24"/>
      <c r="L161" s="24" t="s">
        <v>942</v>
      </c>
      <c r="M161" s="24" t="s">
        <v>943</v>
      </c>
      <c r="N161" s="26" t="s">
        <v>30</v>
      </c>
      <c r="O161" s="26" t="s">
        <v>30</v>
      </c>
      <c r="P161" s="26" t="str">
        <f>IF(NOT("https://maps.app.goo.gl/iF6aizvHoC8wGA8M6" = ""), HYPERLINK("https://maps.app.goo.gl/iF6aizvHoC8wGA8M6", "موقع"), "")</f>
        <v>موقع</v>
      </c>
      <c r="Q161" s="24">
        <v>837000</v>
      </c>
      <c r="R161" s="26" t="str">
        <f t="shared" si="2"/>
        <v>تقديم طلب</v>
      </c>
      <c r="S161" s="32" t="s">
        <v>4133</v>
      </c>
    </row>
    <row r="162" spans="1:19" s="23" customFormat="1" ht="405" x14ac:dyDescent="0.3">
      <c r="A162" s="24" t="s">
        <v>936</v>
      </c>
      <c r="B162" s="25" t="s">
        <v>296</v>
      </c>
      <c r="C162" s="24" t="s">
        <v>315</v>
      </c>
      <c r="D162" s="24" t="s">
        <v>747</v>
      </c>
      <c r="E162" s="24" t="s">
        <v>748</v>
      </c>
      <c r="F162" s="24" t="s">
        <v>754</v>
      </c>
      <c r="G162" s="24" t="s">
        <v>937</v>
      </c>
      <c r="H162" s="24" t="s">
        <v>756</v>
      </c>
      <c r="I162" s="24">
        <v>774</v>
      </c>
      <c r="J162" s="24">
        <v>0</v>
      </c>
      <c r="K162" s="24"/>
      <c r="L162" s="24" t="s">
        <v>938</v>
      </c>
      <c r="M162" s="24" t="s">
        <v>939</v>
      </c>
      <c r="N162" s="26" t="s">
        <v>30</v>
      </c>
      <c r="O162" s="26" t="s">
        <v>30</v>
      </c>
      <c r="P162" s="26" t="str">
        <f>IF(NOT("https://maps.app.goo.gl/82dRELJSixjWugLp7" = ""), HYPERLINK("https://maps.app.goo.gl/82dRELJSixjWugLp7", "موقع"), "")</f>
        <v>موقع</v>
      </c>
      <c r="Q162" s="24">
        <v>319000</v>
      </c>
      <c r="R162" s="26" t="str">
        <f t="shared" si="2"/>
        <v>تقديم طلب</v>
      </c>
      <c r="S162" s="32" t="s">
        <v>4134</v>
      </c>
    </row>
    <row r="163" spans="1:19" s="23" customFormat="1" ht="135" x14ac:dyDescent="0.3">
      <c r="A163" s="24" t="s">
        <v>930</v>
      </c>
      <c r="B163" s="25" t="s">
        <v>296</v>
      </c>
      <c r="C163" s="24" t="s">
        <v>315</v>
      </c>
      <c r="D163" s="24" t="s">
        <v>747</v>
      </c>
      <c r="E163" s="24" t="s">
        <v>748</v>
      </c>
      <c r="F163" s="24" t="s">
        <v>931</v>
      </c>
      <c r="G163" s="24" t="s">
        <v>932</v>
      </c>
      <c r="H163" s="24" t="s">
        <v>933</v>
      </c>
      <c r="I163" s="24">
        <v>340</v>
      </c>
      <c r="J163" s="24">
        <v>0</v>
      </c>
      <c r="K163" s="24"/>
      <c r="L163" s="24" t="s">
        <v>934</v>
      </c>
      <c r="M163" s="24" t="s">
        <v>935</v>
      </c>
      <c r="N163" s="26" t="s">
        <v>30</v>
      </c>
      <c r="O163" s="26" t="s">
        <v>30</v>
      </c>
      <c r="P163" s="26" t="str">
        <f>IF(NOT("https://maps.app.goo.gl/bozGkDugUrQAFjoUA" = ""), HYPERLINK("https://maps.app.goo.gl/bozGkDugUrQAFjoUA", "موقع"), "")</f>
        <v>موقع</v>
      </c>
      <c r="Q163" s="24">
        <v>313000</v>
      </c>
      <c r="R163" s="26" t="str">
        <f t="shared" si="2"/>
        <v>تقديم طلب</v>
      </c>
      <c r="S163" s="32" t="s">
        <v>4135</v>
      </c>
    </row>
    <row r="164" spans="1:19" s="23" customFormat="1" ht="90" x14ac:dyDescent="0.3">
      <c r="A164" s="24" t="s">
        <v>927</v>
      </c>
      <c r="B164" s="25" t="s">
        <v>296</v>
      </c>
      <c r="C164" s="24" t="s">
        <v>315</v>
      </c>
      <c r="D164" s="24" t="s">
        <v>747</v>
      </c>
      <c r="E164" s="24" t="s">
        <v>748</v>
      </c>
      <c r="F164" s="24" t="s">
        <v>812</v>
      </c>
      <c r="G164" s="24" t="s">
        <v>813</v>
      </c>
      <c r="H164" s="24" t="s">
        <v>814</v>
      </c>
      <c r="I164" s="24">
        <v>8503</v>
      </c>
      <c r="J164" s="24">
        <v>0</v>
      </c>
      <c r="K164" s="24"/>
      <c r="L164" s="24" t="s">
        <v>928</v>
      </c>
      <c r="M164" s="24" t="s">
        <v>929</v>
      </c>
      <c r="N164" s="26" t="s">
        <v>30</v>
      </c>
      <c r="O164" s="26" t="str">
        <f>IF(NOT("https://truemarkets3d.net/3d-virtual-tour/housingbank-realestate/phase3/aq-bld-100236/index.html" = ""), HYPERLINK("https://truemarkets3d.net/3d-virtual-tour/housingbank-realestate/phase3/aq-bld-100236/index.html", "جولة"), "")</f>
        <v>جولة</v>
      </c>
      <c r="P164" s="26" t="str">
        <f>IF(NOT("https://maps.app.goo.gl/fmmGqj45Lk5UCFKY8" = ""), HYPERLINK("https://maps.app.goo.gl/fmmGqj45Lk5UCFKY8", "موقع"), "")</f>
        <v>موقع</v>
      </c>
      <c r="Q164" s="24">
        <v>225000</v>
      </c>
      <c r="R164" s="26" t="str">
        <f t="shared" si="2"/>
        <v>تقديم طلب</v>
      </c>
      <c r="S164" s="32" t="s">
        <v>4136</v>
      </c>
    </row>
    <row r="165" spans="1:19" s="23" customFormat="1" ht="135" x14ac:dyDescent="0.3">
      <c r="A165" s="24" t="s">
        <v>921</v>
      </c>
      <c r="B165" s="25" t="s">
        <v>296</v>
      </c>
      <c r="C165" s="24" t="s">
        <v>315</v>
      </c>
      <c r="D165" s="24" t="s">
        <v>747</v>
      </c>
      <c r="E165" s="24" t="s">
        <v>748</v>
      </c>
      <c r="F165" s="24" t="s">
        <v>922</v>
      </c>
      <c r="G165" s="24" t="s">
        <v>923</v>
      </c>
      <c r="H165" s="24" t="s">
        <v>924</v>
      </c>
      <c r="I165" s="24">
        <v>674</v>
      </c>
      <c r="J165" s="24">
        <v>0</v>
      </c>
      <c r="K165" s="24"/>
      <c r="L165" s="24" t="s">
        <v>925</v>
      </c>
      <c r="M165" s="24" t="s">
        <v>926</v>
      </c>
      <c r="N165" s="26" t="s">
        <v>30</v>
      </c>
      <c r="O165" s="26" t="s">
        <v>30</v>
      </c>
      <c r="P165" s="26" t="str">
        <f>IF(NOT("https://maps.app.goo.gl/3reEhsj6DkHv5LKX6" = ""), HYPERLINK("https://maps.app.goo.gl/3reEhsj6DkHv5LKX6", "موقع"), "")</f>
        <v>موقع</v>
      </c>
      <c r="Q165" s="24">
        <v>196000</v>
      </c>
      <c r="R165" s="26" t="str">
        <f t="shared" si="2"/>
        <v>تقديم طلب</v>
      </c>
      <c r="S165" s="32" t="s">
        <v>4137</v>
      </c>
    </row>
    <row r="166" spans="1:19" s="23" customFormat="1" ht="135" x14ac:dyDescent="0.3">
      <c r="A166" s="24" t="s">
        <v>918</v>
      </c>
      <c r="B166" s="25" t="s">
        <v>296</v>
      </c>
      <c r="C166" s="24" t="s">
        <v>315</v>
      </c>
      <c r="D166" s="24" t="s">
        <v>747</v>
      </c>
      <c r="E166" s="24" t="s">
        <v>748</v>
      </c>
      <c r="F166" s="24" t="s">
        <v>812</v>
      </c>
      <c r="G166" s="24" t="s">
        <v>822</v>
      </c>
      <c r="H166" s="24" t="s">
        <v>814</v>
      </c>
      <c r="I166" s="24">
        <v>4882</v>
      </c>
      <c r="J166" s="24">
        <v>0</v>
      </c>
      <c r="K166" s="24"/>
      <c r="L166" s="24" t="s">
        <v>919</v>
      </c>
      <c r="M166" s="24" t="s">
        <v>920</v>
      </c>
      <c r="N166" s="26" t="s">
        <v>30</v>
      </c>
      <c r="O166" s="26" t="s">
        <v>30</v>
      </c>
      <c r="P166" s="26" t="s">
        <v>30</v>
      </c>
      <c r="Q166" s="24">
        <v>186000</v>
      </c>
      <c r="R166" s="26" t="str">
        <f t="shared" si="2"/>
        <v>تقديم طلب</v>
      </c>
      <c r="S166" s="32" t="s">
        <v>4138</v>
      </c>
    </row>
    <row r="167" spans="1:19" s="23" customFormat="1" ht="165" x14ac:dyDescent="0.3">
      <c r="A167" s="24" t="s">
        <v>915</v>
      </c>
      <c r="B167" s="25" t="s">
        <v>296</v>
      </c>
      <c r="C167" s="24" t="s">
        <v>315</v>
      </c>
      <c r="D167" s="24" t="s">
        <v>747</v>
      </c>
      <c r="E167" s="24" t="s">
        <v>748</v>
      </c>
      <c r="F167" s="24" t="s">
        <v>812</v>
      </c>
      <c r="G167" s="24" t="s">
        <v>813</v>
      </c>
      <c r="H167" s="24" t="s">
        <v>814</v>
      </c>
      <c r="I167" s="24">
        <v>8458</v>
      </c>
      <c r="J167" s="24">
        <v>0</v>
      </c>
      <c r="K167" s="24"/>
      <c r="L167" s="24" t="s">
        <v>916</v>
      </c>
      <c r="M167" s="24" t="s">
        <v>917</v>
      </c>
      <c r="N167" s="26" t="s">
        <v>30</v>
      </c>
      <c r="O167" s="26" t="s">
        <v>30</v>
      </c>
      <c r="P167" s="26" t="str">
        <f>IF(NOT("https://maps.app.goo.gl/eHMbk218CNd2PGtDA" = ""), HYPERLINK("https://maps.app.goo.gl/eHMbk218CNd2PGtDA", "موقع"), "")</f>
        <v>موقع</v>
      </c>
      <c r="Q167" s="24">
        <v>173000</v>
      </c>
      <c r="R167" s="26" t="str">
        <f t="shared" si="2"/>
        <v>تقديم طلب</v>
      </c>
      <c r="S167" s="32" t="s">
        <v>4139</v>
      </c>
    </row>
    <row r="168" spans="1:19" s="23" customFormat="1" ht="90" x14ac:dyDescent="0.3">
      <c r="A168" s="24" t="s">
        <v>907</v>
      </c>
      <c r="B168" s="25" t="s">
        <v>296</v>
      </c>
      <c r="C168" s="24" t="s">
        <v>315</v>
      </c>
      <c r="D168" s="24" t="s">
        <v>747</v>
      </c>
      <c r="E168" s="24" t="s">
        <v>748</v>
      </c>
      <c r="F168" s="24" t="s">
        <v>812</v>
      </c>
      <c r="G168" s="24" t="s">
        <v>813</v>
      </c>
      <c r="H168" s="24" t="s">
        <v>814</v>
      </c>
      <c r="I168" s="24">
        <v>4522</v>
      </c>
      <c r="J168" s="24">
        <v>0</v>
      </c>
      <c r="K168" s="24"/>
      <c r="L168" s="24" t="s">
        <v>908</v>
      </c>
      <c r="M168" s="24" t="s">
        <v>909</v>
      </c>
      <c r="N168" s="26" t="s">
        <v>30</v>
      </c>
      <c r="O168" s="26" t="str">
        <f>IF(NOT("https://truemarkets3d.net/3d-virtual-tour/housingbank-realestate/phase3/aq-bld-100279/index.html" = ""), HYPERLINK("https://truemarkets3d.net/3d-virtual-tour/housingbank-realestate/phase3/aq-bld-100279/index.html", "جولة"), "")</f>
        <v>جولة</v>
      </c>
      <c r="P168" s="26" t="s">
        <v>30</v>
      </c>
      <c r="Q168" s="24">
        <v>156000</v>
      </c>
      <c r="R168" s="26" t="str">
        <f t="shared" si="2"/>
        <v>تقديم طلب</v>
      </c>
      <c r="S168" s="32" t="s">
        <v>4140</v>
      </c>
    </row>
    <row r="169" spans="1:19" s="23" customFormat="1" ht="90" x14ac:dyDescent="0.3">
      <c r="A169" s="24" t="s">
        <v>910</v>
      </c>
      <c r="B169" s="25" t="s">
        <v>296</v>
      </c>
      <c r="C169" s="24" t="s">
        <v>315</v>
      </c>
      <c r="D169" s="24" t="s">
        <v>747</v>
      </c>
      <c r="E169" s="24" t="s">
        <v>748</v>
      </c>
      <c r="F169" s="24" t="s">
        <v>774</v>
      </c>
      <c r="G169" s="24" t="s">
        <v>911</v>
      </c>
      <c r="H169" s="24" t="s">
        <v>912</v>
      </c>
      <c r="I169" s="24">
        <v>1204</v>
      </c>
      <c r="J169" s="24">
        <v>0</v>
      </c>
      <c r="K169" s="24"/>
      <c r="L169" s="24" t="s">
        <v>913</v>
      </c>
      <c r="M169" s="24" t="s">
        <v>914</v>
      </c>
      <c r="N169" s="26" t="s">
        <v>30</v>
      </c>
      <c r="O169" s="26" t="s">
        <v>30</v>
      </c>
      <c r="P169" s="26" t="str">
        <f>IF(NOT("https://maps.app.goo.gl/RjnTzXu71B6DuHhb6" = ""), HYPERLINK("https://maps.app.goo.gl/RjnTzXu71B6DuHhb6", "موقع"), "")</f>
        <v>موقع</v>
      </c>
      <c r="Q169" s="24">
        <v>156000</v>
      </c>
      <c r="R169" s="26" t="str">
        <f t="shared" si="2"/>
        <v>تقديم طلب</v>
      </c>
      <c r="S169" s="32" t="s">
        <v>4141</v>
      </c>
    </row>
    <row r="170" spans="1:19" s="23" customFormat="1" ht="120" x14ac:dyDescent="0.3">
      <c r="A170" s="24" t="s">
        <v>904</v>
      </c>
      <c r="B170" s="25" t="s">
        <v>296</v>
      </c>
      <c r="C170" s="24" t="s">
        <v>315</v>
      </c>
      <c r="D170" s="24" t="s">
        <v>747</v>
      </c>
      <c r="E170" s="24" t="s">
        <v>748</v>
      </c>
      <c r="F170" s="24" t="s">
        <v>812</v>
      </c>
      <c r="G170" s="24" t="s">
        <v>813</v>
      </c>
      <c r="H170" s="24" t="s">
        <v>814</v>
      </c>
      <c r="I170" s="24">
        <v>2705</v>
      </c>
      <c r="J170" s="24">
        <v>0</v>
      </c>
      <c r="K170" s="24"/>
      <c r="L170" s="24" t="s">
        <v>905</v>
      </c>
      <c r="M170" s="24" t="s">
        <v>906</v>
      </c>
      <c r="N170" s="26" t="s">
        <v>30</v>
      </c>
      <c r="O170" s="26" t="s">
        <v>30</v>
      </c>
      <c r="P170" s="26" t="str">
        <f>IF(NOT("https://maps.app.goo.gl/49HWKrFtLFJ9RRUW8" = ""), HYPERLINK("https://maps.app.goo.gl/49HWKrFtLFJ9RRUW8", "موقع"), "")</f>
        <v>موقع</v>
      </c>
      <c r="Q170" s="24">
        <v>139000</v>
      </c>
      <c r="R170" s="26" t="str">
        <f t="shared" si="2"/>
        <v>تقديم طلب</v>
      </c>
      <c r="S170" s="32" t="s">
        <v>4142</v>
      </c>
    </row>
    <row r="171" spans="1:19" s="23" customFormat="1" ht="120" x14ac:dyDescent="0.3">
      <c r="A171" s="24" t="s">
        <v>901</v>
      </c>
      <c r="B171" s="25" t="s">
        <v>296</v>
      </c>
      <c r="C171" s="24" t="s">
        <v>315</v>
      </c>
      <c r="D171" s="24" t="s">
        <v>747</v>
      </c>
      <c r="E171" s="24" t="s">
        <v>748</v>
      </c>
      <c r="F171" s="24" t="s">
        <v>812</v>
      </c>
      <c r="G171" s="24" t="s">
        <v>813</v>
      </c>
      <c r="H171" s="24" t="s">
        <v>829</v>
      </c>
      <c r="I171" s="24">
        <v>7023</v>
      </c>
      <c r="J171" s="24">
        <v>0</v>
      </c>
      <c r="K171" s="24"/>
      <c r="L171" s="24" t="s">
        <v>902</v>
      </c>
      <c r="M171" s="24" t="s">
        <v>903</v>
      </c>
      <c r="N171" s="26" t="s">
        <v>30</v>
      </c>
      <c r="O171" s="26" t="s">
        <v>30</v>
      </c>
      <c r="P171" s="26" t="str">
        <f>IF(NOT("https://maps.app.goo.gl/KGeMnMeLud49eHXGA" = ""), HYPERLINK("https://maps.app.goo.gl/KGeMnMeLud49eHXGA", "موقع"), "")</f>
        <v>موقع</v>
      </c>
      <c r="Q171" s="24">
        <v>98000</v>
      </c>
      <c r="R171" s="26" t="str">
        <f t="shared" si="2"/>
        <v>تقديم طلب</v>
      </c>
      <c r="S171" s="32" t="s">
        <v>4143</v>
      </c>
    </row>
    <row r="172" spans="1:19" s="23" customFormat="1" ht="135" x14ac:dyDescent="0.3">
      <c r="A172" s="24" t="s">
        <v>895</v>
      </c>
      <c r="B172" s="25" t="s">
        <v>296</v>
      </c>
      <c r="C172" s="24" t="s">
        <v>315</v>
      </c>
      <c r="D172" s="24" t="s">
        <v>747</v>
      </c>
      <c r="E172" s="24" t="s">
        <v>748</v>
      </c>
      <c r="F172" s="24" t="s">
        <v>896</v>
      </c>
      <c r="G172" s="24" t="s">
        <v>897</v>
      </c>
      <c r="H172" s="24" t="s">
        <v>898</v>
      </c>
      <c r="I172" s="24">
        <v>710</v>
      </c>
      <c r="J172" s="24">
        <v>0</v>
      </c>
      <c r="K172" s="24"/>
      <c r="L172" s="24" t="s">
        <v>899</v>
      </c>
      <c r="M172" s="24" t="s">
        <v>900</v>
      </c>
      <c r="N172" s="26" t="s">
        <v>30</v>
      </c>
      <c r="O172" s="26" t="s">
        <v>30</v>
      </c>
      <c r="P172" s="26" t="s">
        <v>30</v>
      </c>
      <c r="Q172" s="24">
        <v>78000</v>
      </c>
      <c r="R172" s="26" t="str">
        <f t="shared" si="2"/>
        <v>تقديم طلب</v>
      </c>
      <c r="S172" s="32" t="s">
        <v>4144</v>
      </c>
    </row>
    <row r="173" spans="1:19" s="23" customFormat="1" ht="150" x14ac:dyDescent="0.3">
      <c r="A173" s="24" t="s">
        <v>892</v>
      </c>
      <c r="B173" s="25" t="s">
        <v>296</v>
      </c>
      <c r="C173" s="24" t="s">
        <v>315</v>
      </c>
      <c r="D173" s="24" t="s">
        <v>747</v>
      </c>
      <c r="E173" s="24" t="s">
        <v>748</v>
      </c>
      <c r="F173" s="24" t="s">
        <v>760</v>
      </c>
      <c r="G173" s="24" t="s">
        <v>765</v>
      </c>
      <c r="H173" s="24" t="s">
        <v>762</v>
      </c>
      <c r="I173" s="24">
        <v>1229</v>
      </c>
      <c r="J173" s="24">
        <v>0</v>
      </c>
      <c r="K173" s="24"/>
      <c r="L173" s="24" t="s">
        <v>893</v>
      </c>
      <c r="M173" s="24" t="s">
        <v>894</v>
      </c>
      <c r="N173" s="26" t="s">
        <v>30</v>
      </c>
      <c r="O173" s="26" t="s">
        <v>30</v>
      </c>
      <c r="P173" s="26" t="str">
        <f>IF(NOT("https://maps.app.goo.gl/t36xDz5TTRn1P3xS6" = ""), HYPERLINK("https://maps.app.goo.gl/t36xDz5TTRn1P3xS6", "موقع"), "")</f>
        <v>موقع</v>
      </c>
      <c r="Q173" s="24">
        <v>74000</v>
      </c>
      <c r="R173" s="26" t="str">
        <f t="shared" si="2"/>
        <v>تقديم طلب</v>
      </c>
      <c r="S173" s="32" t="s">
        <v>4145</v>
      </c>
    </row>
    <row r="174" spans="1:19" s="23" customFormat="1" ht="90" x14ac:dyDescent="0.3">
      <c r="A174" s="24" t="s">
        <v>890</v>
      </c>
      <c r="B174" s="25" t="s">
        <v>296</v>
      </c>
      <c r="C174" s="24" t="s">
        <v>315</v>
      </c>
      <c r="D174" s="24" t="s">
        <v>747</v>
      </c>
      <c r="E174" s="24" t="s">
        <v>748</v>
      </c>
      <c r="F174" s="24" t="s">
        <v>812</v>
      </c>
      <c r="G174" s="24" t="s">
        <v>822</v>
      </c>
      <c r="H174" s="24" t="s">
        <v>814</v>
      </c>
      <c r="I174" s="24">
        <v>2245</v>
      </c>
      <c r="J174" s="24">
        <v>0</v>
      </c>
      <c r="K174" s="24"/>
      <c r="L174" s="24" t="s">
        <v>186</v>
      </c>
      <c r="M174" s="24" t="s">
        <v>891</v>
      </c>
      <c r="N174" s="26" t="s">
        <v>30</v>
      </c>
      <c r="O174" s="26" t="s">
        <v>30</v>
      </c>
      <c r="P174" s="26" t="s">
        <v>30</v>
      </c>
      <c r="Q174" s="24">
        <v>41000</v>
      </c>
      <c r="R174" s="26" t="str">
        <f t="shared" si="2"/>
        <v>تقديم طلب</v>
      </c>
      <c r="S174" s="32" t="s">
        <v>4146</v>
      </c>
    </row>
    <row r="175" spans="1:19" s="23" customFormat="1" ht="165" x14ac:dyDescent="0.3">
      <c r="A175" s="24" t="s">
        <v>886</v>
      </c>
      <c r="B175" s="25" t="s">
        <v>296</v>
      </c>
      <c r="C175" s="24" t="s">
        <v>315</v>
      </c>
      <c r="D175" s="24" t="s">
        <v>747</v>
      </c>
      <c r="E175" s="24" t="s">
        <v>748</v>
      </c>
      <c r="F175" s="24" t="s">
        <v>749</v>
      </c>
      <c r="G175" s="24" t="s">
        <v>887</v>
      </c>
      <c r="H175" s="24" t="s">
        <v>751</v>
      </c>
      <c r="I175" s="24">
        <v>719</v>
      </c>
      <c r="J175" s="24">
        <v>0</v>
      </c>
      <c r="K175" s="24"/>
      <c r="L175" s="24" t="s">
        <v>888</v>
      </c>
      <c r="M175" s="24" t="s">
        <v>889</v>
      </c>
      <c r="N175" s="26" t="s">
        <v>30</v>
      </c>
      <c r="O175" s="26" t="s">
        <v>30</v>
      </c>
      <c r="P175" s="26" t="str">
        <f>IF(NOT("https://maps.app.goo.gl/rJPRDhdsZx115hDH8" = ""), HYPERLINK("https://maps.app.goo.gl/rJPRDhdsZx115hDH8", "موقع"), "")</f>
        <v>موقع</v>
      </c>
      <c r="Q175" s="24">
        <v>35000</v>
      </c>
      <c r="R175" s="26" t="str">
        <f t="shared" si="2"/>
        <v>تقديم طلب</v>
      </c>
      <c r="S175" s="32" t="s">
        <v>4147</v>
      </c>
    </row>
    <row r="176" spans="1:19" s="23" customFormat="1" ht="135" x14ac:dyDescent="0.3">
      <c r="A176" s="24" t="s">
        <v>883</v>
      </c>
      <c r="B176" s="25" t="s">
        <v>296</v>
      </c>
      <c r="C176" s="24" t="s">
        <v>315</v>
      </c>
      <c r="D176" s="24" t="s">
        <v>747</v>
      </c>
      <c r="E176" s="24" t="s">
        <v>748</v>
      </c>
      <c r="F176" s="24" t="s">
        <v>760</v>
      </c>
      <c r="G176" s="24" t="s">
        <v>761</v>
      </c>
      <c r="H176" s="24" t="s">
        <v>762</v>
      </c>
      <c r="I176" s="24">
        <v>222</v>
      </c>
      <c r="J176" s="24">
        <v>0</v>
      </c>
      <c r="K176" s="24"/>
      <c r="L176" s="24" t="s">
        <v>884</v>
      </c>
      <c r="M176" s="24" t="s">
        <v>885</v>
      </c>
      <c r="N176" s="26" t="s">
        <v>30</v>
      </c>
      <c r="O176" s="26" t="s">
        <v>30</v>
      </c>
      <c r="P176" s="26" t="s">
        <v>30</v>
      </c>
      <c r="Q176" s="24">
        <v>26000</v>
      </c>
      <c r="R176" s="26" t="str">
        <f t="shared" si="2"/>
        <v>تقديم طلب</v>
      </c>
      <c r="S176" s="32" t="s">
        <v>4148</v>
      </c>
    </row>
    <row r="177" spans="1:19" s="23" customFormat="1" ht="90" x14ac:dyDescent="0.3">
      <c r="A177" s="24" t="s">
        <v>877</v>
      </c>
      <c r="B177" s="25" t="s">
        <v>296</v>
      </c>
      <c r="C177" s="24" t="s">
        <v>315</v>
      </c>
      <c r="D177" s="24" t="s">
        <v>747</v>
      </c>
      <c r="E177" s="24" t="s">
        <v>748</v>
      </c>
      <c r="F177" s="24" t="s">
        <v>878</v>
      </c>
      <c r="G177" s="24" t="s">
        <v>879</v>
      </c>
      <c r="H177" s="24" t="s">
        <v>880</v>
      </c>
      <c r="I177" s="24">
        <v>845</v>
      </c>
      <c r="J177" s="24">
        <v>0</v>
      </c>
      <c r="K177" s="24"/>
      <c r="L177" s="24" t="s">
        <v>881</v>
      </c>
      <c r="M177" s="24" t="s">
        <v>882</v>
      </c>
      <c r="N177" s="26" t="s">
        <v>30</v>
      </c>
      <c r="O177" s="26" t="s">
        <v>30</v>
      </c>
      <c r="P177" s="26" t="str">
        <f>IF(NOT("https://maps.app.goo.gl/YfxZq53PZvNSXBbJ7" = ""), HYPERLINK("https://maps.app.goo.gl/YfxZq53PZvNSXBbJ7", "موقع"), "")</f>
        <v>موقع</v>
      </c>
      <c r="Q177" s="24">
        <v>22000</v>
      </c>
      <c r="R177" s="26" t="str">
        <f t="shared" si="2"/>
        <v>تقديم طلب</v>
      </c>
      <c r="S177" s="32" t="s">
        <v>4149</v>
      </c>
    </row>
    <row r="178" spans="1:19" s="23" customFormat="1" ht="165" x14ac:dyDescent="0.3">
      <c r="A178" s="24" t="s">
        <v>968</v>
      </c>
      <c r="B178" s="25" t="s">
        <v>296</v>
      </c>
      <c r="C178" s="24" t="s">
        <v>451</v>
      </c>
      <c r="D178" s="24" t="s">
        <v>747</v>
      </c>
      <c r="E178" s="24" t="s">
        <v>748</v>
      </c>
      <c r="F178" s="24" t="s">
        <v>812</v>
      </c>
      <c r="G178" s="24" t="s">
        <v>813</v>
      </c>
      <c r="H178" s="24" t="s">
        <v>814</v>
      </c>
      <c r="I178" s="24">
        <v>4070</v>
      </c>
      <c r="J178" s="24"/>
      <c r="K178" s="24"/>
      <c r="L178" s="24" t="s">
        <v>969</v>
      </c>
      <c r="M178" s="24" t="s">
        <v>970</v>
      </c>
      <c r="N178" s="26" t="s">
        <v>30</v>
      </c>
      <c r="O178" s="26" t="s">
        <v>30</v>
      </c>
      <c r="P178" s="26" t="s">
        <v>30</v>
      </c>
      <c r="Q178" s="24">
        <v>465000</v>
      </c>
      <c r="R178" s="26" t="str">
        <f t="shared" si="2"/>
        <v>تقديم طلب</v>
      </c>
      <c r="S178" s="32" t="s">
        <v>4150</v>
      </c>
    </row>
    <row r="179" spans="1:19" s="23" customFormat="1" ht="90" x14ac:dyDescent="0.3">
      <c r="A179" s="24" t="s">
        <v>965</v>
      </c>
      <c r="B179" s="25" t="s">
        <v>296</v>
      </c>
      <c r="C179" s="24" t="s">
        <v>451</v>
      </c>
      <c r="D179" s="24" t="s">
        <v>747</v>
      </c>
      <c r="E179" s="24" t="s">
        <v>748</v>
      </c>
      <c r="F179" s="24" t="s">
        <v>812</v>
      </c>
      <c r="G179" s="24" t="s">
        <v>813</v>
      </c>
      <c r="H179" s="24" t="s">
        <v>814</v>
      </c>
      <c r="I179" s="24">
        <v>4069</v>
      </c>
      <c r="J179" s="24"/>
      <c r="K179" s="24"/>
      <c r="L179" s="24" t="s">
        <v>966</v>
      </c>
      <c r="M179" s="24" t="s">
        <v>967</v>
      </c>
      <c r="N179" s="26" t="s">
        <v>30</v>
      </c>
      <c r="O179" s="26" t="s">
        <v>30</v>
      </c>
      <c r="P179" s="26" t="s">
        <v>30</v>
      </c>
      <c r="Q179" s="24">
        <v>214000</v>
      </c>
      <c r="R179" s="26" t="str">
        <f t="shared" si="2"/>
        <v>تقديم طلب</v>
      </c>
      <c r="S179" s="32" t="s">
        <v>4151</v>
      </c>
    </row>
    <row r="180" spans="1:19" s="23" customFormat="1" ht="195" x14ac:dyDescent="0.3">
      <c r="A180" s="24" t="s">
        <v>960</v>
      </c>
      <c r="B180" s="25" t="s">
        <v>296</v>
      </c>
      <c r="C180" s="24" t="s">
        <v>451</v>
      </c>
      <c r="D180" s="24" t="s">
        <v>747</v>
      </c>
      <c r="E180" s="24" t="s">
        <v>748</v>
      </c>
      <c r="F180" s="24" t="s">
        <v>961</v>
      </c>
      <c r="G180" s="24" t="s">
        <v>962</v>
      </c>
      <c r="H180" s="24" t="s">
        <v>751</v>
      </c>
      <c r="I180" s="24">
        <v>777</v>
      </c>
      <c r="J180" s="24">
        <v>0</v>
      </c>
      <c r="K180" s="24"/>
      <c r="L180" s="24" t="s">
        <v>963</v>
      </c>
      <c r="M180" s="24" t="s">
        <v>964</v>
      </c>
      <c r="N180" s="26" t="s">
        <v>30</v>
      </c>
      <c r="O180" s="26" t="s">
        <v>30</v>
      </c>
      <c r="P180" s="26" t="str">
        <f>IF(NOT("https://maps.app.goo.gl/KFFTPLZmx9WgcFJ3A" = ""), HYPERLINK("https://maps.app.goo.gl/KFFTPLZmx9WgcFJ3A", "موقع"), "")</f>
        <v>موقع</v>
      </c>
      <c r="Q180" s="24">
        <v>100000</v>
      </c>
      <c r="R180" s="26" t="str">
        <f t="shared" si="2"/>
        <v>تقديم طلب</v>
      </c>
      <c r="S180" s="32" t="s">
        <v>4152</v>
      </c>
    </row>
    <row r="181" spans="1:19" s="23" customFormat="1" ht="120" x14ac:dyDescent="0.3">
      <c r="A181" s="24" t="s">
        <v>954</v>
      </c>
      <c r="B181" s="25" t="s">
        <v>296</v>
      </c>
      <c r="C181" s="24" t="s">
        <v>451</v>
      </c>
      <c r="D181" s="24" t="s">
        <v>747</v>
      </c>
      <c r="E181" s="24" t="s">
        <v>748</v>
      </c>
      <c r="F181" s="24" t="s">
        <v>955</v>
      </c>
      <c r="G181" s="24" t="s">
        <v>956</v>
      </c>
      <c r="H181" s="24" t="s">
        <v>957</v>
      </c>
      <c r="I181" s="24">
        <v>314</v>
      </c>
      <c r="J181" s="24">
        <v>0</v>
      </c>
      <c r="K181" s="24"/>
      <c r="L181" s="24" t="s">
        <v>958</v>
      </c>
      <c r="M181" s="24" t="s">
        <v>959</v>
      </c>
      <c r="N181" s="26" t="s">
        <v>30</v>
      </c>
      <c r="O181" s="26" t="s">
        <v>30</v>
      </c>
      <c r="P181" s="26" t="str">
        <f>IF(NOT("https://maps.app.goo.gl/mkMofyR5tFYsJniV8" = ""), HYPERLINK("https://maps.app.goo.gl/mkMofyR5tFYsJniV8", "موقع"), "")</f>
        <v>موقع</v>
      </c>
      <c r="Q181" s="24">
        <v>74000</v>
      </c>
      <c r="R181" s="26" t="str">
        <f t="shared" si="2"/>
        <v>تقديم طلب</v>
      </c>
      <c r="S181" s="32" t="s">
        <v>4153</v>
      </c>
    </row>
    <row r="182" spans="1:19" s="23" customFormat="1" ht="240" x14ac:dyDescent="0.3">
      <c r="A182" s="24" t="s">
        <v>971</v>
      </c>
      <c r="B182" s="25" t="s">
        <v>296</v>
      </c>
      <c r="C182" s="24" t="s">
        <v>463</v>
      </c>
      <c r="D182" s="24" t="s">
        <v>747</v>
      </c>
      <c r="E182" s="24" t="s">
        <v>748</v>
      </c>
      <c r="F182" s="24" t="s">
        <v>972</v>
      </c>
      <c r="G182" s="24" t="s">
        <v>973</v>
      </c>
      <c r="H182" s="24" t="s">
        <v>974</v>
      </c>
      <c r="I182" s="24">
        <v>300</v>
      </c>
      <c r="J182" s="24"/>
      <c r="K182" s="24"/>
      <c r="L182" s="24" t="s">
        <v>975</v>
      </c>
      <c r="M182" s="24" t="s">
        <v>976</v>
      </c>
      <c r="N182" s="26" t="s">
        <v>30</v>
      </c>
      <c r="O182" s="26" t="s">
        <v>30</v>
      </c>
      <c r="P182" s="26" t="s">
        <v>30</v>
      </c>
      <c r="Q182" s="24">
        <v>483000</v>
      </c>
      <c r="R182" s="26" t="str">
        <f t="shared" si="2"/>
        <v>تقديم طلب</v>
      </c>
      <c r="S182" s="32" t="s">
        <v>4154</v>
      </c>
    </row>
    <row r="183" spans="1:19" s="23" customFormat="1" ht="165" x14ac:dyDescent="0.3">
      <c r="A183" s="24" t="s">
        <v>1007</v>
      </c>
      <c r="B183" s="25" t="s">
        <v>468</v>
      </c>
      <c r="C183" s="24" t="s">
        <v>469</v>
      </c>
      <c r="D183" s="24" t="s">
        <v>747</v>
      </c>
      <c r="E183" s="24" t="s">
        <v>748</v>
      </c>
      <c r="F183" s="24" t="s">
        <v>922</v>
      </c>
      <c r="G183" s="24" t="s">
        <v>1008</v>
      </c>
      <c r="H183" s="24" t="s">
        <v>1004</v>
      </c>
      <c r="I183" s="24">
        <v>261</v>
      </c>
      <c r="J183" s="24">
        <v>0</v>
      </c>
      <c r="K183" s="24"/>
      <c r="L183" s="24" t="s">
        <v>1009</v>
      </c>
      <c r="M183" s="24" t="s">
        <v>1010</v>
      </c>
      <c r="N183" s="26" t="s">
        <v>30</v>
      </c>
      <c r="O183" s="26" t="s">
        <v>30</v>
      </c>
      <c r="P183" s="26" t="str">
        <f>IF(NOT("https://maps.app.goo.gl/K5ftzPSd6z6MToWU9" = ""), HYPERLINK("https://maps.app.goo.gl/K5ftzPSd6z6MToWU9", "موقع"), "")</f>
        <v>موقع</v>
      </c>
      <c r="Q183" s="24">
        <v>36000</v>
      </c>
      <c r="R183" s="26" t="str">
        <f t="shared" si="2"/>
        <v>تقديم طلب</v>
      </c>
      <c r="S183" s="32" t="s">
        <v>4155</v>
      </c>
    </row>
    <row r="184" spans="1:19" s="23" customFormat="1" ht="165" x14ac:dyDescent="0.3">
      <c r="A184" s="24" t="s">
        <v>1002</v>
      </c>
      <c r="B184" s="25" t="s">
        <v>468</v>
      </c>
      <c r="C184" s="24" t="s">
        <v>469</v>
      </c>
      <c r="D184" s="24" t="s">
        <v>747</v>
      </c>
      <c r="E184" s="24" t="s">
        <v>748</v>
      </c>
      <c r="F184" s="24" t="s">
        <v>922</v>
      </c>
      <c r="G184" s="24" t="s">
        <v>1003</v>
      </c>
      <c r="H184" s="24" t="s">
        <v>1004</v>
      </c>
      <c r="I184" s="24">
        <v>329</v>
      </c>
      <c r="J184" s="24">
        <v>0</v>
      </c>
      <c r="K184" s="24"/>
      <c r="L184" s="24" t="s">
        <v>1005</v>
      </c>
      <c r="M184" s="24" t="s">
        <v>1006</v>
      </c>
      <c r="N184" s="26" t="s">
        <v>30</v>
      </c>
      <c r="O184" s="26" t="s">
        <v>30</v>
      </c>
      <c r="P184" s="26" t="str">
        <f>IF(NOT("https://maps.app.goo.gl/sZPBQeHukGbCoZDY9" = ""), HYPERLINK("https://maps.app.goo.gl/sZPBQeHukGbCoZDY9", "موقع"), "")</f>
        <v>موقع</v>
      </c>
      <c r="Q184" s="24">
        <v>23000</v>
      </c>
      <c r="R184" s="26" t="str">
        <f t="shared" si="2"/>
        <v>تقديم طلب</v>
      </c>
      <c r="S184" s="32" t="s">
        <v>4156</v>
      </c>
    </row>
    <row r="185" spans="1:19" s="23" customFormat="1" ht="90" x14ac:dyDescent="0.3">
      <c r="A185" s="24" t="s">
        <v>997</v>
      </c>
      <c r="B185" s="25" t="s">
        <v>468</v>
      </c>
      <c r="C185" s="24" t="s">
        <v>469</v>
      </c>
      <c r="D185" s="24" t="s">
        <v>747</v>
      </c>
      <c r="E185" s="24" t="s">
        <v>748</v>
      </c>
      <c r="F185" s="24" t="s">
        <v>998</v>
      </c>
      <c r="G185" s="24" t="s">
        <v>333</v>
      </c>
      <c r="H185" s="24" t="s">
        <v>999</v>
      </c>
      <c r="I185" s="24">
        <v>723</v>
      </c>
      <c r="J185" s="24">
        <v>0</v>
      </c>
      <c r="K185" s="24"/>
      <c r="L185" s="24" t="s">
        <v>1000</v>
      </c>
      <c r="M185" s="24" t="s">
        <v>1001</v>
      </c>
      <c r="N185" s="26" t="s">
        <v>30</v>
      </c>
      <c r="O185" s="26" t="s">
        <v>30</v>
      </c>
      <c r="P185" s="26" t="str">
        <f>IF(NOT("https://maps.app.goo.gl/jw4ME2tEkNe1zotH6" = ""), HYPERLINK("https://maps.app.goo.gl/jw4ME2tEkNe1zotH6", "موقع"), "")</f>
        <v>موقع</v>
      </c>
      <c r="Q185" s="24">
        <v>16000</v>
      </c>
      <c r="R185" s="26" t="str">
        <f t="shared" si="2"/>
        <v>تقديم طلب</v>
      </c>
      <c r="S185" s="32" t="s">
        <v>4157</v>
      </c>
    </row>
    <row r="186" spans="1:19" s="23" customFormat="1" ht="225" x14ac:dyDescent="0.3">
      <c r="A186" s="24" t="s">
        <v>987</v>
      </c>
      <c r="B186" s="25" t="s">
        <v>468</v>
      </c>
      <c r="C186" s="24" t="s">
        <v>469</v>
      </c>
      <c r="D186" s="24" t="s">
        <v>747</v>
      </c>
      <c r="E186" s="24" t="s">
        <v>748</v>
      </c>
      <c r="F186" s="24" t="s">
        <v>878</v>
      </c>
      <c r="G186" s="24" t="s">
        <v>879</v>
      </c>
      <c r="H186" s="24" t="s">
        <v>988</v>
      </c>
      <c r="I186" s="24">
        <v>1203</v>
      </c>
      <c r="J186" s="24">
        <v>0</v>
      </c>
      <c r="K186" s="24"/>
      <c r="L186" s="24" t="s">
        <v>989</v>
      </c>
      <c r="M186" s="24" t="s">
        <v>990</v>
      </c>
      <c r="N186" s="26" t="s">
        <v>30</v>
      </c>
      <c r="O186" s="26" t="s">
        <v>30</v>
      </c>
      <c r="P186" s="26" t="s">
        <v>30</v>
      </c>
      <c r="Q186" s="24">
        <v>15000</v>
      </c>
      <c r="R186" s="26" t="str">
        <f t="shared" si="2"/>
        <v>تقديم طلب</v>
      </c>
      <c r="S186" s="32" t="s">
        <v>4158</v>
      </c>
    </row>
    <row r="187" spans="1:19" s="23" customFormat="1" ht="120" x14ac:dyDescent="0.3">
      <c r="A187" s="24" t="s">
        <v>991</v>
      </c>
      <c r="B187" s="25" t="s">
        <v>468</v>
      </c>
      <c r="C187" s="24" t="s">
        <v>469</v>
      </c>
      <c r="D187" s="24" t="s">
        <v>747</v>
      </c>
      <c r="E187" s="24" t="s">
        <v>748</v>
      </c>
      <c r="F187" s="24" t="s">
        <v>992</v>
      </c>
      <c r="G187" s="24" t="s">
        <v>993</v>
      </c>
      <c r="H187" s="24" t="s">
        <v>994</v>
      </c>
      <c r="I187" s="24">
        <v>1326</v>
      </c>
      <c r="J187" s="24">
        <v>0</v>
      </c>
      <c r="K187" s="24"/>
      <c r="L187" s="24" t="s">
        <v>995</v>
      </c>
      <c r="M187" s="24" t="s">
        <v>996</v>
      </c>
      <c r="N187" s="26" t="s">
        <v>30</v>
      </c>
      <c r="O187" s="26" t="s">
        <v>30</v>
      </c>
      <c r="P187" s="26" t="str">
        <f>IF(NOT("https://maps.app.goo.gl/p5UeiG7Wqy3ELzHC7" = ""), HYPERLINK("https://maps.app.goo.gl/p5UeiG7Wqy3ELzHC7", "موقع"), "")</f>
        <v>موقع</v>
      </c>
      <c r="Q187" s="24">
        <v>15000</v>
      </c>
      <c r="R187" s="26" t="str">
        <f t="shared" si="2"/>
        <v>تقديم طلب</v>
      </c>
      <c r="S187" s="32" t="s">
        <v>4159</v>
      </c>
    </row>
    <row r="188" spans="1:19" s="23" customFormat="1" ht="120" x14ac:dyDescent="0.3">
      <c r="A188" s="24" t="s">
        <v>984</v>
      </c>
      <c r="B188" s="25" t="s">
        <v>468</v>
      </c>
      <c r="C188" s="24" t="s">
        <v>469</v>
      </c>
      <c r="D188" s="24" t="s">
        <v>747</v>
      </c>
      <c r="E188" s="24" t="s">
        <v>748</v>
      </c>
      <c r="F188" s="24" t="s">
        <v>951</v>
      </c>
      <c r="G188" s="24" t="s">
        <v>978</v>
      </c>
      <c r="H188" s="24" t="s">
        <v>751</v>
      </c>
      <c r="I188" s="24">
        <v>416</v>
      </c>
      <c r="J188" s="24">
        <v>0</v>
      </c>
      <c r="K188" s="24"/>
      <c r="L188" s="24" t="s">
        <v>985</v>
      </c>
      <c r="M188" s="24" t="s">
        <v>986</v>
      </c>
      <c r="N188" s="26" t="s">
        <v>30</v>
      </c>
      <c r="O188" s="26" t="s">
        <v>30</v>
      </c>
      <c r="P188" s="26" t="str">
        <f>IF(NOT("https://maps.app.goo.gl/VMbSFeAuZNRaJ7TX9" = ""), HYPERLINK("https://maps.app.goo.gl/VMbSFeAuZNRaJ7TX9", "موقع"), "")</f>
        <v>موقع</v>
      </c>
      <c r="Q188" s="24">
        <v>9000</v>
      </c>
      <c r="R188" s="26" t="str">
        <f t="shared" si="2"/>
        <v>تقديم طلب</v>
      </c>
      <c r="S188" s="32" t="s">
        <v>4160</v>
      </c>
    </row>
    <row r="189" spans="1:19" s="23" customFormat="1" ht="105" x14ac:dyDescent="0.3">
      <c r="A189" s="24" t="s">
        <v>981</v>
      </c>
      <c r="B189" s="25" t="s">
        <v>468</v>
      </c>
      <c r="C189" s="24" t="s">
        <v>469</v>
      </c>
      <c r="D189" s="24" t="s">
        <v>747</v>
      </c>
      <c r="E189" s="24" t="s">
        <v>748</v>
      </c>
      <c r="F189" s="24" t="s">
        <v>951</v>
      </c>
      <c r="G189" s="24" t="s">
        <v>978</v>
      </c>
      <c r="H189" s="24" t="s">
        <v>751</v>
      </c>
      <c r="I189" s="24">
        <v>407</v>
      </c>
      <c r="J189" s="24">
        <v>0</v>
      </c>
      <c r="K189" s="24"/>
      <c r="L189" s="24" t="s">
        <v>982</v>
      </c>
      <c r="M189" s="24" t="s">
        <v>983</v>
      </c>
      <c r="N189" s="26" t="s">
        <v>30</v>
      </c>
      <c r="O189" s="26" t="s">
        <v>30</v>
      </c>
      <c r="P189" s="26" t="s">
        <v>30</v>
      </c>
      <c r="Q189" s="24">
        <v>7000</v>
      </c>
      <c r="R189" s="26" t="str">
        <f t="shared" si="2"/>
        <v>تقديم طلب</v>
      </c>
      <c r="S189" s="32" t="s">
        <v>4161</v>
      </c>
    </row>
    <row r="190" spans="1:19" s="23" customFormat="1" ht="105" x14ac:dyDescent="0.3">
      <c r="A190" s="24" t="s">
        <v>977</v>
      </c>
      <c r="B190" s="25" t="s">
        <v>468</v>
      </c>
      <c r="C190" s="24" t="s">
        <v>469</v>
      </c>
      <c r="D190" s="24" t="s">
        <v>747</v>
      </c>
      <c r="E190" s="24" t="s">
        <v>748</v>
      </c>
      <c r="F190" s="24" t="s">
        <v>951</v>
      </c>
      <c r="G190" s="24" t="s">
        <v>978</v>
      </c>
      <c r="H190" s="24" t="s">
        <v>751</v>
      </c>
      <c r="I190" s="24">
        <v>403</v>
      </c>
      <c r="J190" s="24">
        <v>0</v>
      </c>
      <c r="K190" s="24"/>
      <c r="L190" s="24" t="s">
        <v>979</v>
      </c>
      <c r="M190" s="24" t="s">
        <v>980</v>
      </c>
      <c r="N190" s="26" t="s">
        <v>30</v>
      </c>
      <c r="O190" s="26" t="s">
        <v>30</v>
      </c>
      <c r="P190" s="26" t="str">
        <f>IF(NOT("https://maps.app.goo.gl/jidFef5beuMf9sheA" = ""), HYPERLINK("https://maps.app.goo.gl/jidFef5beuMf9sheA", "موقع"), "")</f>
        <v>موقع</v>
      </c>
      <c r="Q190" s="24">
        <v>6000</v>
      </c>
      <c r="R190" s="26" t="str">
        <f t="shared" si="2"/>
        <v>تقديم طلب</v>
      </c>
      <c r="S190" s="32" t="s">
        <v>4162</v>
      </c>
    </row>
    <row r="191" spans="1:19" s="23" customFormat="1" ht="90" x14ac:dyDescent="0.3">
      <c r="A191" s="24" t="s">
        <v>1011</v>
      </c>
      <c r="B191" s="25" t="s">
        <v>468</v>
      </c>
      <c r="C191" s="24" t="s">
        <v>516</v>
      </c>
      <c r="D191" s="24" t="s">
        <v>747</v>
      </c>
      <c r="E191" s="24" t="s">
        <v>748</v>
      </c>
      <c r="F191" s="24" t="s">
        <v>1012</v>
      </c>
      <c r="G191" s="24" t="s">
        <v>1013</v>
      </c>
      <c r="H191" s="24" t="s">
        <v>945</v>
      </c>
      <c r="I191" s="24">
        <v>129</v>
      </c>
      <c r="J191" s="24">
        <v>0</v>
      </c>
      <c r="K191" s="24"/>
      <c r="L191" s="24" t="s">
        <v>1014</v>
      </c>
      <c r="M191" s="24" t="s">
        <v>1015</v>
      </c>
      <c r="N191" s="26" t="s">
        <v>30</v>
      </c>
      <c r="O191" s="26" t="s">
        <v>30</v>
      </c>
      <c r="P191" s="26" t="str">
        <f>IF(NOT("https://maps.app.goo.gl/MKuNLonKeLB1z1gt9" = ""), HYPERLINK("https://maps.app.goo.gl/MKuNLonKeLB1z1gt9", "موقع"), "")</f>
        <v>موقع</v>
      </c>
      <c r="Q191" s="24">
        <v>127000</v>
      </c>
      <c r="R191" s="26" t="str">
        <f t="shared" si="2"/>
        <v>تقديم طلب</v>
      </c>
      <c r="S191" s="32" t="s">
        <v>4163</v>
      </c>
    </row>
    <row r="192" spans="1:19" s="23" customFormat="1" ht="90" x14ac:dyDescent="0.3">
      <c r="A192" s="24" t="s">
        <v>1022</v>
      </c>
      <c r="B192" s="25" t="s">
        <v>296</v>
      </c>
      <c r="C192" s="24" t="s">
        <v>522</v>
      </c>
      <c r="D192" s="24" t="s">
        <v>747</v>
      </c>
      <c r="E192" s="24" t="s">
        <v>748</v>
      </c>
      <c r="F192" s="24" t="s">
        <v>827</v>
      </c>
      <c r="G192" s="24" t="s">
        <v>828</v>
      </c>
      <c r="H192" s="24" t="s">
        <v>829</v>
      </c>
      <c r="I192" s="24">
        <v>576</v>
      </c>
      <c r="J192" s="24">
        <v>0</v>
      </c>
      <c r="K192" s="24"/>
      <c r="L192" s="24" t="s">
        <v>1023</v>
      </c>
      <c r="M192" s="24" t="s">
        <v>1024</v>
      </c>
      <c r="N192" s="26" t="s">
        <v>30</v>
      </c>
      <c r="O192" s="26" t="s">
        <v>30</v>
      </c>
      <c r="P192" s="26" t="str">
        <f>IF(NOT("https://maps.app.goo.gl/eBjN3nffY4XHPcbF7" = ""), HYPERLINK("https://maps.app.goo.gl/eBjN3nffY4XHPcbF7", "موقع"), "")</f>
        <v>موقع</v>
      </c>
      <c r="Q192" s="24">
        <v>46000</v>
      </c>
      <c r="R192" s="26" t="str">
        <f t="shared" si="2"/>
        <v>تقديم طلب</v>
      </c>
      <c r="S192" s="32" t="s">
        <v>4164</v>
      </c>
    </row>
    <row r="193" spans="1:19" s="23" customFormat="1" ht="90" x14ac:dyDescent="0.3">
      <c r="A193" s="24" t="s">
        <v>1046</v>
      </c>
      <c r="B193" s="25" t="s">
        <v>21</v>
      </c>
      <c r="C193" s="24" t="s">
        <v>59</v>
      </c>
      <c r="D193" s="24" t="s">
        <v>1028</v>
      </c>
      <c r="E193" s="24" t="s">
        <v>1029</v>
      </c>
      <c r="F193" s="24" t="s">
        <v>1030</v>
      </c>
      <c r="G193" s="24" t="s">
        <v>1047</v>
      </c>
      <c r="H193" s="24" t="s">
        <v>1043</v>
      </c>
      <c r="I193" s="24">
        <v>486</v>
      </c>
      <c r="J193" s="24">
        <v>111</v>
      </c>
      <c r="K193" s="24" t="s">
        <v>43</v>
      </c>
      <c r="L193" s="24" t="s">
        <v>850</v>
      </c>
      <c r="M193" s="24" t="s">
        <v>1048</v>
      </c>
      <c r="N193" s="26" t="s">
        <v>30</v>
      </c>
      <c r="O193" s="26" t="s">
        <v>30</v>
      </c>
      <c r="P193" s="26" t="str">
        <f>IF(NOT("https://maps.app.goo.gl/sWVr5rvPBTvKmKxj7" = ""), HYPERLINK("https://maps.app.goo.gl/sWVr5rvPBTvKmKxj7", "موقع"), "")</f>
        <v>موقع</v>
      </c>
      <c r="Q193" s="24">
        <v>22000</v>
      </c>
      <c r="R193" s="26" t="str">
        <f t="shared" si="2"/>
        <v>تقديم طلب</v>
      </c>
      <c r="S193" s="32" t="s">
        <v>4165</v>
      </c>
    </row>
    <row r="194" spans="1:19" s="23" customFormat="1" ht="90" x14ac:dyDescent="0.3">
      <c r="A194" s="24" t="s">
        <v>1041</v>
      </c>
      <c r="B194" s="25" t="s">
        <v>21</v>
      </c>
      <c r="C194" s="24" t="s">
        <v>59</v>
      </c>
      <c r="D194" s="24" t="s">
        <v>1028</v>
      </c>
      <c r="E194" s="24" t="s">
        <v>1029</v>
      </c>
      <c r="F194" s="24" t="s">
        <v>1030</v>
      </c>
      <c r="G194" s="24" t="s">
        <v>1042</v>
      </c>
      <c r="H194" s="24" t="s">
        <v>1043</v>
      </c>
      <c r="I194" s="24">
        <v>430</v>
      </c>
      <c r="J194" s="24">
        <v>111</v>
      </c>
      <c r="K194" s="24" t="s">
        <v>43</v>
      </c>
      <c r="L194" s="24" t="s">
        <v>1044</v>
      </c>
      <c r="M194" s="24" t="s">
        <v>1045</v>
      </c>
      <c r="N194" s="26" t="s">
        <v>30</v>
      </c>
      <c r="O194" s="26" t="s">
        <v>30</v>
      </c>
      <c r="P194" s="26" t="str">
        <f>IF(NOT("https://maps.app.goo.gl/Eqs4yfTbVDHCPyfx8" = ""), HYPERLINK("https://maps.app.goo.gl/Eqs4yfTbVDHCPyfx8", "موقع"), "")</f>
        <v>موقع</v>
      </c>
      <c r="Q194" s="24">
        <v>21000</v>
      </c>
      <c r="R194" s="26" t="str">
        <f t="shared" si="2"/>
        <v>تقديم طلب</v>
      </c>
      <c r="S194" s="32" t="s">
        <v>4166</v>
      </c>
    </row>
    <row r="195" spans="1:19" s="23" customFormat="1" ht="90" x14ac:dyDescent="0.3">
      <c r="A195" s="24" t="s">
        <v>1037</v>
      </c>
      <c r="B195" s="25" t="s">
        <v>21</v>
      </c>
      <c r="C195" s="24" t="s">
        <v>59</v>
      </c>
      <c r="D195" s="24" t="s">
        <v>1028</v>
      </c>
      <c r="E195" s="24" t="s">
        <v>1029</v>
      </c>
      <c r="F195" s="24" t="s">
        <v>1038</v>
      </c>
      <c r="G195" s="24" t="s">
        <v>1039</v>
      </c>
      <c r="H195" s="24" t="s">
        <v>345</v>
      </c>
      <c r="I195" s="24">
        <v>506</v>
      </c>
      <c r="J195" s="24">
        <v>102</v>
      </c>
      <c r="K195" s="24" t="s">
        <v>43</v>
      </c>
      <c r="L195" s="24" t="s">
        <v>797</v>
      </c>
      <c r="M195" s="24" t="s">
        <v>1040</v>
      </c>
      <c r="N195" s="26" t="s">
        <v>30</v>
      </c>
      <c r="O195" s="26" t="s">
        <v>30</v>
      </c>
      <c r="P195" s="26" t="str">
        <f>IF(NOT("https://maps.app.goo.gl/9JdRDMJiocdRG3UWA" = ""), HYPERLINK("https://maps.app.goo.gl/9JdRDMJiocdRG3UWA", "موقع"), "")</f>
        <v>موقع</v>
      </c>
      <c r="Q195" s="24">
        <v>19000</v>
      </c>
      <c r="R195" s="26" t="str">
        <f t="shared" si="2"/>
        <v>تقديم طلب</v>
      </c>
      <c r="S195" s="32" t="s">
        <v>4167</v>
      </c>
    </row>
    <row r="196" spans="1:19" s="23" customFormat="1" ht="90" x14ac:dyDescent="0.3">
      <c r="A196" s="24" t="s">
        <v>1034</v>
      </c>
      <c r="B196" s="25" t="s">
        <v>21</v>
      </c>
      <c r="C196" s="24" t="s">
        <v>59</v>
      </c>
      <c r="D196" s="24" t="s">
        <v>1028</v>
      </c>
      <c r="E196" s="24" t="s">
        <v>1029</v>
      </c>
      <c r="F196" s="24" t="s">
        <v>1030</v>
      </c>
      <c r="G196" s="24" t="s">
        <v>1035</v>
      </c>
      <c r="H196" s="24" t="s">
        <v>345</v>
      </c>
      <c r="I196" s="24">
        <v>384</v>
      </c>
      <c r="J196" s="24">
        <v>-101</v>
      </c>
      <c r="K196" s="24" t="s">
        <v>33</v>
      </c>
      <c r="L196" s="24" t="s">
        <v>279</v>
      </c>
      <c r="M196" s="24" t="s">
        <v>1036</v>
      </c>
      <c r="N196" s="26" t="s">
        <v>30</v>
      </c>
      <c r="O196" s="26" t="s">
        <v>30</v>
      </c>
      <c r="P196" s="26" t="str">
        <f>IF(NOT("https://maps.app.goo.gl/339xFF8oG3pQiBZK6" = ""), HYPERLINK("https://maps.app.goo.gl/339xFF8oG3pQiBZK6", "موقع"), "")</f>
        <v>موقع</v>
      </c>
      <c r="Q196" s="24">
        <v>18000</v>
      </c>
      <c r="R196" s="26" t="str">
        <f t="shared" si="2"/>
        <v>تقديم طلب</v>
      </c>
      <c r="S196" s="32" t="s">
        <v>4168</v>
      </c>
    </row>
    <row r="197" spans="1:19" s="23" customFormat="1" ht="90" x14ac:dyDescent="0.3">
      <c r="A197" s="24" t="s">
        <v>1027</v>
      </c>
      <c r="B197" s="25" t="s">
        <v>21</v>
      </c>
      <c r="C197" s="24" t="s">
        <v>59</v>
      </c>
      <c r="D197" s="24" t="s">
        <v>1028</v>
      </c>
      <c r="E197" s="24" t="s">
        <v>1029</v>
      </c>
      <c r="F197" s="24" t="s">
        <v>1030</v>
      </c>
      <c r="G197" s="24" t="s">
        <v>1031</v>
      </c>
      <c r="H197" s="24" t="s">
        <v>345</v>
      </c>
      <c r="I197" s="24">
        <v>830</v>
      </c>
      <c r="J197" s="24">
        <v>-101</v>
      </c>
      <c r="K197" s="24" t="s">
        <v>33</v>
      </c>
      <c r="L197" s="24" t="s">
        <v>1032</v>
      </c>
      <c r="M197" s="24" t="s">
        <v>1033</v>
      </c>
      <c r="N197" s="26" t="s">
        <v>30</v>
      </c>
      <c r="O197" s="26" t="s">
        <v>30</v>
      </c>
      <c r="P197" s="26" t="str">
        <f>IF(NOT("https://maps.app.goo.gl/rLhjJBoAKcAsRd6y7" = ""), HYPERLINK("https://maps.app.goo.gl/rLhjJBoAKcAsRd6y7", "موقع"), "")</f>
        <v>موقع</v>
      </c>
      <c r="Q197" s="24">
        <v>14000</v>
      </c>
      <c r="R197" s="26" t="str">
        <f t="shared" ref="R197:R260" si="3">HYPERLINK(S197,"تقديم طلب")</f>
        <v>تقديم طلب</v>
      </c>
      <c r="S197" s="32" t="s">
        <v>4169</v>
      </c>
    </row>
    <row r="198" spans="1:19" s="23" customFormat="1" ht="90" x14ac:dyDescent="0.3">
      <c r="A198" s="24" t="s">
        <v>1063</v>
      </c>
      <c r="B198" s="25" t="s">
        <v>296</v>
      </c>
      <c r="C198" s="24" t="s">
        <v>315</v>
      </c>
      <c r="D198" s="24" t="s">
        <v>1028</v>
      </c>
      <c r="E198" s="24" t="s">
        <v>1029</v>
      </c>
      <c r="F198" s="24" t="s">
        <v>1030</v>
      </c>
      <c r="G198" s="24" t="s">
        <v>1064</v>
      </c>
      <c r="H198" s="24" t="s">
        <v>345</v>
      </c>
      <c r="I198" s="24">
        <v>225</v>
      </c>
      <c r="J198" s="24">
        <v>0</v>
      </c>
      <c r="K198" s="24"/>
      <c r="L198" s="24" t="s">
        <v>1065</v>
      </c>
      <c r="M198" s="24" t="s">
        <v>1066</v>
      </c>
      <c r="N198" s="26" t="s">
        <v>30</v>
      </c>
      <c r="O198" s="26" t="s">
        <v>30</v>
      </c>
      <c r="P198" s="26" t="s">
        <v>30</v>
      </c>
      <c r="Q198" s="24">
        <v>147000</v>
      </c>
      <c r="R198" s="26" t="str">
        <f t="shared" si="3"/>
        <v>تقديم طلب</v>
      </c>
      <c r="S198" s="32" t="s">
        <v>4170</v>
      </c>
    </row>
    <row r="199" spans="1:19" s="23" customFormat="1" ht="285" x14ac:dyDescent="0.3">
      <c r="A199" s="24" t="s">
        <v>1060</v>
      </c>
      <c r="B199" s="25" t="s">
        <v>296</v>
      </c>
      <c r="C199" s="24" t="s">
        <v>315</v>
      </c>
      <c r="D199" s="24" t="s">
        <v>1028</v>
      </c>
      <c r="E199" s="24" t="s">
        <v>1029</v>
      </c>
      <c r="F199" s="24" t="s">
        <v>1030</v>
      </c>
      <c r="G199" s="24" t="s">
        <v>1050</v>
      </c>
      <c r="H199" s="24" t="s">
        <v>345</v>
      </c>
      <c r="I199" s="24">
        <v>246</v>
      </c>
      <c r="J199" s="24">
        <v>0</v>
      </c>
      <c r="K199" s="24"/>
      <c r="L199" s="24" t="s">
        <v>1061</v>
      </c>
      <c r="M199" s="24" t="s">
        <v>1062</v>
      </c>
      <c r="N199" s="26" t="s">
        <v>30</v>
      </c>
      <c r="O199" s="26" t="s">
        <v>30</v>
      </c>
      <c r="P199" s="26" t="str">
        <f>IF(NOT("https://maps.app.goo.gl/GyuKSSrucU1mHS8PA" = ""), HYPERLINK("https://maps.app.goo.gl/GyuKSSrucU1mHS8PA", "موقع"), "")</f>
        <v>موقع</v>
      </c>
      <c r="Q199" s="24">
        <v>36000</v>
      </c>
      <c r="R199" s="26" t="str">
        <f t="shared" si="3"/>
        <v>تقديم طلب</v>
      </c>
      <c r="S199" s="32" t="s">
        <v>4171</v>
      </c>
    </row>
    <row r="200" spans="1:19" s="23" customFormat="1" ht="90" x14ac:dyDescent="0.3">
      <c r="A200" s="24" t="s">
        <v>1056</v>
      </c>
      <c r="B200" s="25" t="s">
        <v>296</v>
      </c>
      <c r="C200" s="24" t="s">
        <v>315</v>
      </c>
      <c r="D200" s="24" t="s">
        <v>1028</v>
      </c>
      <c r="E200" s="24" t="s">
        <v>1029</v>
      </c>
      <c r="F200" s="24" t="s">
        <v>1030</v>
      </c>
      <c r="G200" s="24" t="s">
        <v>1057</v>
      </c>
      <c r="H200" s="24" t="s">
        <v>345</v>
      </c>
      <c r="I200" s="24">
        <v>115</v>
      </c>
      <c r="J200" s="24">
        <v>0</v>
      </c>
      <c r="K200" s="24"/>
      <c r="L200" s="24" t="s">
        <v>1058</v>
      </c>
      <c r="M200" s="24" t="s">
        <v>1059</v>
      </c>
      <c r="N200" s="26" t="s">
        <v>30</v>
      </c>
      <c r="O200" s="26" t="s">
        <v>30</v>
      </c>
      <c r="P200" s="26" t="s">
        <v>30</v>
      </c>
      <c r="Q200" s="24">
        <v>29000</v>
      </c>
      <c r="R200" s="26" t="str">
        <f t="shared" si="3"/>
        <v>تقديم طلب</v>
      </c>
      <c r="S200" s="32" t="s">
        <v>4172</v>
      </c>
    </row>
    <row r="201" spans="1:19" s="23" customFormat="1" ht="105" x14ac:dyDescent="0.3">
      <c r="A201" s="24" t="s">
        <v>1053</v>
      </c>
      <c r="B201" s="25" t="s">
        <v>296</v>
      </c>
      <c r="C201" s="24" t="s">
        <v>315</v>
      </c>
      <c r="D201" s="24" t="s">
        <v>1028</v>
      </c>
      <c r="E201" s="24" t="s">
        <v>1029</v>
      </c>
      <c r="F201" s="24" t="s">
        <v>1030</v>
      </c>
      <c r="G201" s="24" t="s">
        <v>1050</v>
      </c>
      <c r="H201" s="24" t="s">
        <v>345</v>
      </c>
      <c r="I201" s="24">
        <v>381</v>
      </c>
      <c r="J201" s="24">
        <v>0</v>
      </c>
      <c r="K201" s="24"/>
      <c r="L201" s="24" t="s">
        <v>1054</v>
      </c>
      <c r="M201" s="24" t="s">
        <v>1055</v>
      </c>
      <c r="N201" s="26" t="s">
        <v>30</v>
      </c>
      <c r="O201" s="26" t="s">
        <v>30</v>
      </c>
      <c r="P201" s="26" t="str">
        <f>IF(NOT("https://maps.app.goo.gl/nzvihjacCQVKVv8r8" = ""), HYPERLINK("https://maps.app.goo.gl/nzvihjacCQVKVv8r8", "موقع"), "")</f>
        <v>موقع</v>
      </c>
      <c r="Q201" s="24">
        <v>13000</v>
      </c>
      <c r="R201" s="26" t="str">
        <f t="shared" si="3"/>
        <v>تقديم طلب</v>
      </c>
      <c r="S201" s="32" t="s">
        <v>4173</v>
      </c>
    </row>
    <row r="202" spans="1:19" s="23" customFormat="1" ht="225" x14ac:dyDescent="0.3">
      <c r="A202" s="24" t="s">
        <v>1049</v>
      </c>
      <c r="B202" s="25" t="s">
        <v>296</v>
      </c>
      <c r="C202" s="24" t="s">
        <v>315</v>
      </c>
      <c r="D202" s="24" t="s">
        <v>1028</v>
      </c>
      <c r="E202" s="24" t="s">
        <v>1029</v>
      </c>
      <c r="F202" s="24" t="s">
        <v>1030</v>
      </c>
      <c r="G202" s="24" t="s">
        <v>1050</v>
      </c>
      <c r="H202" s="24" t="s">
        <v>345</v>
      </c>
      <c r="I202" s="24">
        <v>384</v>
      </c>
      <c r="J202" s="24">
        <v>0</v>
      </c>
      <c r="K202" s="24"/>
      <c r="L202" s="24" t="s">
        <v>1051</v>
      </c>
      <c r="M202" s="24" t="s">
        <v>1052</v>
      </c>
      <c r="N202" s="26" t="s">
        <v>30</v>
      </c>
      <c r="O202" s="26" t="s">
        <v>30</v>
      </c>
      <c r="P202" s="26" t="str">
        <f>IF(NOT("https://maps.app.goo.gl/8AmqVAUV54EUe8eW6" = ""), HYPERLINK("https://maps.app.goo.gl/8AmqVAUV54EUe8eW6", "موقع"), "")</f>
        <v>موقع</v>
      </c>
      <c r="Q202" s="24">
        <v>8000</v>
      </c>
      <c r="R202" s="26" t="str">
        <f t="shared" si="3"/>
        <v>تقديم طلب</v>
      </c>
      <c r="S202" s="32" t="s">
        <v>4174</v>
      </c>
    </row>
    <row r="203" spans="1:19" s="23" customFormat="1" ht="105" x14ac:dyDescent="0.3">
      <c r="A203" s="24" t="s">
        <v>1095</v>
      </c>
      <c r="B203" s="25" t="s">
        <v>468</v>
      </c>
      <c r="C203" s="24" t="s">
        <v>469</v>
      </c>
      <c r="D203" s="24" t="s">
        <v>1028</v>
      </c>
      <c r="E203" s="24" t="s">
        <v>1029</v>
      </c>
      <c r="F203" s="24" t="s">
        <v>1030</v>
      </c>
      <c r="G203" s="24" t="s">
        <v>1047</v>
      </c>
      <c r="H203" s="24" t="s">
        <v>345</v>
      </c>
      <c r="I203" s="24">
        <v>165</v>
      </c>
      <c r="J203" s="24">
        <v>0</v>
      </c>
      <c r="K203" s="24"/>
      <c r="L203" s="24" t="s">
        <v>1096</v>
      </c>
      <c r="M203" s="24" t="s">
        <v>1097</v>
      </c>
      <c r="N203" s="26" t="s">
        <v>30</v>
      </c>
      <c r="O203" s="26" t="s">
        <v>30</v>
      </c>
      <c r="P203" s="26" t="str">
        <f>IF(NOT("https://maps.app.goo.gl/6YUJcyfF31sEYAWM8" = ""), HYPERLINK("https://maps.app.goo.gl/6YUJcyfF31sEYAWM8", "موقع"), "")</f>
        <v>موقع</v>
      </c>
      <c r="Q203" s="24">
        <v>35000</v>
      </c>
      <c r="R203" s="26" t="str">
        <f t="shared" si="3"/>
        <v>تقديم طلب</v>
      </c>
      <c r="S203" s="32" t="s">
        <v>4175</v>
      </c>
    </row>
    <row r="204" spans="1:19" s="23" customFormat="1" ht="90" x14ac:dyDescent="0.3">
      <c r="A204" s="24" t="s">
        <v>1091</v>
      </c>
      <c r="B204" s="25" t="s">
        <v>468</v>
      </c>
      <c r="C204" s="24" t="s">
        <v>469</v>
      </c>
      <c r="D204" s="24" t="s">
        <v>1028</v>
      </c>
      <c r="E204" s="24" t="s">
        <v>1029</v>
      </c>
      <c r="F204" s="24" t="s">
        <v>1030</v>
      </c>
      <c r="G204" s="24" t="s">
        <v>1092</v>
      </c>
      <c r="H204" s="24" t="s">
        <v>345</v>
      </c>
      <c r="I204" s="24">
        <v>19</v>
      </c>
      <c r="J204" s="24">
        <v>0</v>
      </c>
      <c r="K204" s="24"/>
      <c r="L204" s="24" t="s">
        <v>1093</v>
      </c>
      <c r="M204" s="24" t="s">
        <v>1094</v>
      </c>
      <c r="N204" s="26" t="s">
        <v>30</v>
      </c>
      <c r="O204" s="26" t="s">
        <v>30</v>
      </c>
      <c r="P204" s="26" t="str">
        <f>IF(NOT("https://maps.app.goo.gl/bbntg53bmAVeQbJK7" = ""), HYPERLINK("https://maps.app.goo.gl/bbntg53bmAVeQbJK7", "موقع"), "")</f>
        <v>موقع</v>
      </c>
      <c r="Q204" s="24">
        <v>17000</v>
      </c>
      <c r="R204" s="26" t="str">
        <f t="shared" si="3"/>
        <v>تقديم طلب</v>
      </c>
      <c r="S204" s="32" t="s">
        <v>4176</v>
      </c>
    </row>
    <row r="205" spans="1:19" s="23" customFormat="1" ht="165" x14ac:dyDescent="0.3">
      <c r="A205" s="24" t="s">
        <v>1086</v>
      </c>
      <c r="B205" s="25" t="s">
        <v>468</v>
      </c>
      <c r="C205" s="24" t="s">
        <v>469</v>
      </c>
      <c r="D205" s="24" t="s">
        <v>1028</v>
      </c>
      <c r="E205" s="24" t="s">
        <v>1029</v>
      </c>
      <c r="F205" s="24" t="s">
        <v>1030</v>
      </c>
      <c r="G205" s="24" t="s">
        <v>1087</v>
      </c>
      <c r="H205" s="24" t="s">
        <v>1088</v>
      </c>
      <c r="I205" s="24">
        <v>11</v>
      </c>
      <c r="J205" s="24">
        <v>0</v>
      </c>
      <c r="K205" s="24"/>
      <c r="L205" s="24" t="s">
        <v>1089</v>
      </c>
      <c r="M205" s="24" t="s">
        <v>1090</v>
      </c>
      <c r="N205" s="26" t="s">
        <v>30</v>
      </c>
      <c r="O205" s="26" t="s">
        <v>30</v>
      </c>
      <c r="P205" s="26" t="str">
        <f>IF(NOT("https://maps.app.goo.gl/kKmnpxAguuxxMbsAA" = ""), HYPERLINK("https://maps.app.goo.gl/kKmnpxAguuxxMbsAA", "موقع"), "")</f>
        <v>موقع</v>
      </c>
      <c r="Q205" s="24">
        <v>15000</v>
      </c>
      <c r="R205" s="26" t="str">
        <f t="shared" si="3"/>
        <v>تقديم طلب</v>
      </c>
      <c r="S205" s="32" t="s">
        <v>4177</v>
      </c>
    </row>
    <row r="206" spans="1:19" s="23" customFormat="1" ht="105" x14ac:dyDescent="0.3">
      <c r="A206" s="24" t="s">
        <v>1082</v>
      </c>
      <c r="B206" s="25" t="s">
        <v>468</v>
      </c>
      <c r="C206" s="24" t="s">
        <v>469</v>
      </c>
      <c r="D206" s="24" t="s">
        <v>1028</v>
      </c>
      <c r="E206" s="24" t="s">
        <v>1029</v>
      </c>
      <c r="F206" s="24" t="s">
        <v>1030</v>
      </c>
      <c r="G206" s="24" t="s">
        <v>1083</v>
      </c>
      <c r="H206" s="24" t="s">
        <v>345</v>
      </c>
      <c r="I206" s="24">
        <v>8</v>
      </c>
      <c r="J206" s="24">
        <v>0</v>
      </c>
      <c r="K206" s="24"/>
      <c r="L206" s="24" t="s">
        <v>1084</v>
      </c>
      <c r="M206" s="24" t="s">
        <v>1085</v>
      </c>
      <c r="N206" s="26" t="s">
        <v>30</v>
      </c>
      <c r="O206" s="26" t="s">
        <v>30</v>
      </c>
      <c r="P206" s="26" t="str">
        <f>IF(NOT("https://maps.app.goo.gl/MB26VjWss3DaSAVd7" = ""), HYPERLINK("https://maps.app.goo.gl/MB26VjWss3DaSAVd7", "موقع"), "")</f>
        <v>موقع</v>
      </c>
      <c r="Q206" s="24">
        <v>12000</v>
      </c>
      <c r="R206" s="26" t="str">
        <f t="shared" si="3"/>
        <v>تقديم طلب</v>
      </c>
      <c r="S206" s="32" t="s">
        <v>4178</v>
      </c>
    </row>
    <row r="207" spans="1:19" s="23" customFormat="1" ht="105" x14ac:dyDescent="0.3">
      <c r="A207" s="24" t="s">
        <v>1078</v>
      </c>
      <c r="B207" s="25" t="s">
        <v>468</v>
      </c>
      <c r="C207" s="24" t="s">
        <v>469</v>
      </c>
      <c r="D207" s="24" t="s">
        <v>1028</v>
      </c>
      <c r="E207" s="24" t="s">
        <v>1029</v>
      </c>
      <c r="F207" s="24" t="s">
        <v>1030</v>
      </c>
      <c r="G207" s="24" t="s">
        <v>1050</v>
      </c>
      <c r="H207" s="24" t="s">
        <v>1079</v>
      </c>
      <c r="I207" s="24">
        <v>383</v>
      </c>
      <c r="J207" s="24">
        <v>0</v>
      </c>
      <c r="K207" s="24"/>
      <c r="L207" s="24" t="s">
        <v>1080</v>
      </c>
      <c r="M207" s="24" t="s">
        <v>1081</v>
      </c>
      <c r="N207" s="26" t="s">
        <v>30</v>
      </c>
      <c r="O207" s="26" t="s">
        <v>30</v>
      </c>
      <c r="P207" s="26" t="str">
        <f>IF(NOT("https://maps.app.goo.gl/KRB3rzP3aWv4DZrw9" = ""), HYPERLINK("https://maps.app.goo.gl/KRB3rzP3aWv4DZrw9", "موقع"), "")</f>
        <v>موقع</v>
      </c>
      <c r="Q207" s="24">
        <v>11000</v>
      </c>
      <c r="R207" s="26" t="str">
        <f t="shared" si="3"/>
        <v>تقديم طلب</v>
      </c>
      <c r="S207" s="32" t="s">
        <v>4179</v>
      </c>
    </row>
    <row r="208" spans="1:19" s="23" customFormat="1" ht="105" x14ac:dyDescent="0.3">
      <c r="A208" s="24" t="s">
        <v>1075</v>
      </c>
      <c r="B208" s="25" t="s">
        <v>468</v>
      </c>
      <c r="C208" s="24" t="s">
        <v>469</v>
      </c>
      <c r="D208" s="24" t="s">
        <v>1028</v>
      </c>
      <c r="E208" s="24" t="s">
        <v>1029</v>
      </c>
      <c r="F208" s="24" t="s">
        <v>1030</v>
      </c>
      <c r="G208" s="24" t="s">
        <v>1042</v>
      </c>
      <c r="H208" s="24" t="s">
        <v>1043</v>
      </c>
      <c r="I208" s="24">
        <v>926</v>
      </c>
      <c r="J208" s="24">
        <v>0</v>
      </c>
      <c r="K208" s="24"/>
      <c r="L208" s="24" t="s">
        <v>1076</v>
      </c>
      <c r="M208" s="24" t="s">
        <v>1077</v>
      </c>
      <c r="N208" s="26" t="s">
        <v>30</v>
      </c>
      <c r="O208" s="26" t="s">
        <v>30</v>
      </c>
      <c r="P208" s="26" t="str">
        <f>IF(NOT("https://maps.app.goo.gl/DTJbF2G5AkCBaap36" = ""), HYPERLINK("https://maps.app.goo.gl/DTJbF2G5AkCBaap36", "موقع"), "")</f>
        <v>موقع</v>
      </c>
      <c r="Q208" s="24">
        <v>8000</v>
      </c>
      <c r="R208" s="26" t="str">
        <f t="shared" si="3"/>
        <v>تقديم طلب</v>
      </c>
      <c r="S208" s="32" t="s">
        <v>4180</v>
      </c>
    </row>
    <row r="209" spans="1:19" s="23" customFormat="1" ht="225" x14ac:dyDescent="0.3">
      <c r="A209" s="24" t="s">
        <v>1071</v>
      </c>
      <c r="B209" s="25" t="s">
        <v>468</v>
      </c>
      <c r="C209" s="24" t="s">
        <v>469</v>
      </c>
      <c r="D209" s="24" t="s">
        <v>1028</v>
      </c>
      <c r="E209" s="24" t="s">
        <v>1029</v>
      </c>
      <c r="F209" s="24" t="s">
        <v>1030</v>
      </c>
      <c r="G209" s="24" t="s">
        <v>1072</v>
      </c>
      <c r="H209" s="24" t="s">
        <v>345</v>
      </c>
      <c r="I209" s="24">
        <v>648</v>
      </c>
      <c r="J209" s="24">
        <v>0</v>
      </c>
      <c r="K209" s="24"/>
      <c r="L209" s="24" t="s">
        <v>1073</v>
      </c>
      <c r="M209" s="24" t="s">
        <v>1074</v>
      </c>
      <c r="N209" s="26" t="s">
        <v>30</v>
      </c>
      <c r="O209" s="26" t="s">
        <v>30</v>
      </c>
      <c r="P209" s="26" t="s">
        <v>30</v>
      </c>
      <c r="Q209" s="24">
        <v>6000</v>
      </c>
      <c r="R209" s="26" t="str">
        <f t="shared" si="3"/>
        <v>تقديم طلب</v>
      </c>
      <c r="S209" s="32" t="s">
        <v>4181</v>
      </c>
    </row>
    <row r="210" spans="1:19" s="23" customFormat="1" ht="105" x14ac:dyDescent="0.3">
      <c r="A210" s="24" t="s">
        <v>1067</v>
      </c>
      <c r="B210" s="25" t="s">
        <v>468</v>
      </c>
      <c r="C210" s="24" t="s">
        <v>469</v>
      </c>
      <c r="D210" s="24" t="s">
        <v>1028</v>
      </c>
      <c r="E210" s="24" t="s">
        <v>1029</v>
      </c>
      <c r="F210" s="24" t="s">
        <v>1030</v>
      </c>
      <c r="G210" s="24" t="s">
        <v>1068</v>
      </c>
      <c r="H210" s="24" t="s">
        <v>345</v>
      </c>
      <c r="I210" s="24">
        <v>31</v>
      </c>
      <c r="J210" s="24">
        <v>0</v>
      </c>
      <c r="K210" s="24"/>
      <c r="L210" s="24" t="s">
        <v>1069</v>
      </c>
      <c r="M210" s="24" t="s">
        <v>1070</v>
      </c>
      <c r="N210" s="26" t="s">
        <v>30</v>
      </c>
      <c r="O210" s="26" t="s">
        <v>30</v>
      </c>
      <c r="P210" s="26" t="str">
        <f>IF(NOT("https://maps.app.goo.gl/522ACyue7Dw1ySsMA" = ""), HYPERLINK("https://maps.app.goo.gl/522ACyue7Dw1ySsMA", "موقع"), "")</f>
        <v>موقع</v>
      </c>
      <c r="Q210" s="24">
        <v>4000</v>
      </c>
      <c r="R210" s="26" t="str">
        <f t="shared" si="3"/>
        <v>تقديم طلب</v>
      </c>
      <c r="S210" s="32" t="s">
        <v>4182</v>
      </c>
    </row>
    <row r="211" spans="1:19" s="23" customFormat="1" ht="90" x14ac:dyDescent="0.3">
      <c r="A211" s="24" t="s">
        <v>1116</v>
      </c>
      <c r="B211" s="25" t="s">
        <v>21</v>
      </c>
      <c r="C211" s="24" t="s">
        <v>1099</v>
      </c>
      <c r="D211" s="24" t="s">
        <v>1100</v>
      </c>
      <c r="E211" s="24" t="s">
        <v>1101</v>
      </c>
      <c r="F211" s="24" t="s">
        <v>1102</v>
      </c>
      <c r="G211" s="24" t="s">
        <v>1103</v>
      </c>
      <c r="H211" s="24" t="s">
        <v>1104</v>
      </c>
      <c r="I211" s="24">
        <v>1580</v>
      </c>
      <c r="J211" s="24">
        <v>-1012</v>
      </c>
      <c r="K211" s="24" t="s">
        <v>33</v>
      </c>
      <c r="L211" s="24" t="s">
        <v>40</v>
      </c>
      <c r="M211" s="24" t="s">
        <v>1117</v>
      </c>
      <c r="N211" s="26" t="s">
        <v>30</v>
      </c>
      <c r="O211" s="26" t="s">
        <v>30</v>
      </c>
      <c r="P211" s="26" t="str">
        <f>IF(NOT("https://maps.app.goo.gl/GNPJvfncnCM8V7ZDA" = ""), HYPERLINK("https://maps.app.goo.gl/GNPJvfncnCM8V7ZDA", "موقع"), "")</f>
        <v>موقع</v>
      </c>
      <c r="Q211" s="24">
        <v>28000</v>
      </c>
      <c r="R211" s="26" t="str">
        <f t="shared" si="3"/>
        <v>تقديم طلب</v>
      </c>
      <c r="S211" s="32" t="s">
        <v>4183</v>
      </c>
    </row>
    <row r="212" spans="1:19" s="23" customFormat="1" ht="90" x14ac:dyDescent="0.3">
      <c r="A212" s="24" t="s">
        <v>1113</v>
      </c>
      <c r="B212" s="25" t="s">
        <v>21</v>
      </c>
      <c r="C212" s="24" t="s">
        <v>1099</v>
      </c>
      <c r="D212" s="24" t="s">
        <v>1100</v>
      </c>
      <c r="E212" s="24" t="s">
        <v>1101</v>
      </c>
      <c r="F212" s="24" t="s">
        <v>1102</v>
      </c>
      <c r="G212" s="24" t="s">
        <v>1103</v>
      </c>
      <c r="H212" s="24" t="s">
        <v>1104</v>
      </c>
      <c r="I212" s="24">
        <v>1580</v>
      </c>
      <c r="J212" s="24">
        <v>-1013</v>
      </c>
      <c r="K212" s="24" t="s">
        <v>33</v>
      </c>
      <c r="L212" s="24" t="s">
        <v>1114</v>
      </c>
      <c r="M212" s="24" t="s">
        <v>1115</v>
      </c>
      <c r="N212" s="26" t="s">
        <v>30</v>
      </c>
      <c r="O212" s="26" t="s">
        <v>30</v>
      </c>
      <c r="P212" s="26" t="str">
        <f>IF(NOT("https://maps.app.goo.gl/GNPJvfncnCM8V7ZDA" = ""), HYPERLINK("https://maps.app.goo.gl/GNPJvfncnCM8V7ZDA", "موقع"), "")</f>
        <v>موقع</v>
      </c>
      <c r="Q212" s="24">
        <v>27000</v>
      </c>
      <c r="R212" s="26" t="str">
        <f t="shared" si="3"/>
        <v>تقديم طلب</v>
      </c>
      <c r="S212" s="32" t="s">
        <v>4184</v>
      </c>
    </row>
    <row r="213" spans="1:19" s="23" customFormat="1" ht="90" x14ac:dyDescent="0.3">
      <c r="A213" s="24" t="s">
        <v>1110</v>
      </c>
      <c r="B213" s="25" t="s">
        <v>21</v>
      </c>
      <c r="C213" s="24" t="s">
        <v>1099</v>
      </c>
      <c r="D213" s="24" t="s">
        <v>1100</v>
      </c>
      <c r="E213" s="24" t="s">
        <v>1101</v>
      </c>
      <c r="F213" s="24" t="s">
        <v>1102</v>
      </c>
      <c r="G213" s="24" t="s">
        <v>1103</v>
      </c>
      <c r="H213" s="24" t="s">
        <v>1104</v>
      </c>
      <c r="I213" s="24">
        <v>1580</v>
      </c>
      <c r="J213" s="24">
        <v>-1021</v>
      </c>
      <c r="K213" s="24" t="s">
        <v>33</v>
      </c>
      <c r="L213" s="24" t="s">
        <v>1111</v>
      </c>
      <c r="M213" s="24" t="s">
        <v>1112</v>
      </c>
      <c r="N213" s="26" t="s">
        <v>30</v>
      </c>
      <c r="O213" s="26" t="s">
        <v>30</v>
      </c>
      <c r="P213" s="26" t="str">
        <f>IF(NOT("https://maps.app.goo.gl/PmwE1hpK62FCGpay8" = ""), HYPERLINK("https://maps.app.goo.gl/PmwE1hpK62FCGpay8", "موقع"), "")</f>
        <v>موقع</v>
      </c>
      <c r="Q213" s="24">
        <v>23000</v>
      </c>
      <c r="R213" s="26" t="str">
        <f t="shared" si="3"/>
        <v>تقديم طلب</v>
      </c>
      <c r="S213" s="32" t="s">
        <v>4185</v>
      </c>
    </row>
    <row r="214" spans="1:19" s="23" customFormat="1" ht="90" x14ac:dyDescent="0.3">
      <c r="A214" s="24" t="s">
        <v>1107</v>
      </c>
      <c r="B214" s="25" t="s">
        <v>21</v>
      </c>
      <c r="C214" s="24" t="s">
        <v>1099</v>
      </c>
      <c r="D214" s="24" t="s">
        <v>1100</v>
      </c>
      <c r="E214" s="24" t="s">
        <v>1101</v>
      </c>
      <c r="F214" s="24" t="s">
        <v>1102</v>
      </c>
      <c r="G214" s="24" t="s">
        <v>1103</v>
      </c>
      <c r="H214" s="24" t="s">
        <v>1104</v>
      </c>
      <c r="I214" s="24">
        <v>1580</v>
      </c>
      <c r="J214" s="24">
        <v>-1020</v>
      </c>
      <c r="K214" s="24" t="s">
        <v>33</v>
      </c>
      <c r="L214" s="24" t="s">
        <v>1108</v>
      </c>
      <c r="M214" s="24" t="s">
        <v>1109</v>
      </c>
      <c r="N214" s="26" t="s">
        <v>30</v>
      </c>
      <c r="O214" s="26" t="s">
        <v>30</v>
      </c>
      <c r="P214" s="26" t="str">
        <f>IF(NOT("https://maps.app.goo.gl/GNPJvfncnCM8V7ZDA" = ""), HYPERLINK("https://maps.app.goo.gl/GNPJvfncnCM8V7ZDA", "موقع"), "")</f>
        <v>موقع</v>
      </c>
      <c r="Q214" s="24">
        <v>21000</v>
      </c>
      <c r="R214" s="26" t="str">
        <f t="shared" si="3"/>
        <v>تقديم طلب</v>
      </c>
      <c r="S214" s="32" t="s">
        <v>4186</v>
      </c>
    </row>
    <row r="215" spans="1:19" s="23" customFormat="1" ht="90" x14ac:dyDescent="0.3">
      <c r="A215" s="24" t="s">
        <v>1098</v>
      </c>
      <c r="B215" s="25" t="s">
        <v>21</v>
      </c>
      <c r="C215" s="24" t="s">
        <v>1099</v>
      </c>
      <c r="D215" s="24" t="s">
        <v>1100</v>
      </c>
      <c r="E215" s="24" t="s">
        <v>1101</v>
      </c>
      <c r="F215" s="24" t="s">
        <v>1102</v>
      </c>
      <c r="G215" s="24" t="s">
        <v>1103</v>
      </c>
      <c r="H215" s="24" t="s">
        <v>1104</v>
      </c>
      <c r="I215" s="24">
        <v>1580</v>
      </c>
      <c r="J215" s="24">
        <v>-1027</v>
      </c>
      <c r="K215" s="24" t="s">
        <v>33</v>
      </c>
      <c r="L215" s="24" t="s">
        <v>1105</v>
      </c>
      <c r="M215" s="24" t="s">
        <v>1106</v>
      </c>
      <c r="N215" s="26" t="s">
        <v>30</v>
      </c>
      <c r="O215" s="26" t="s">
        <v>30</v>
      </c>
      <c r="P215" s="26" t="str">
        <f>IF(NOT("https://maps.app.goo.gl/GNPJvfncnCM8V7ZDA" = ""), HYPERLINK("https://maps.app.goo.gl/GNPJvfncnCM8V7ZDA", "موقع"), "")</f>
        <v>موقع</v>
      </c>
      <c r="Q215" s="24">
        <v>8000</v>
      </c>
      <c r="R215" s="26" t="str">
        <f t="shared" si="3"/>
        <v>تقديم طلب</v>
      </c>
      <c r="S215" s="32" t="s">
        <v>4187</v>
      </c>
    </row>
    <row r="216" spans="1:19" s="23" customFormat="1" ht="90" x14ac:dyDescent="0.3">
      <c r="A216" s="24" t="s">
        <v>1135</v>
      </c>
      <c r="B216" s="25" t="s">
        <v>21</v>
      </c>
      <c r="C216" s="24" t="s">
        <v>22</v>
      </c>
      <c r="D216" s="24" t="s">
        <v>1100</v>
      </c>
      <c r="E216" s="24" t="s">
        <v>1101</v>
      </c>
      <c r="F216" s="24" t="s">
        <v>1102</v>
      </c>
      <c r="G216" s="24" t="s">
        <v>1103</v>
      </c>
      <c r="H216" s="24" t="s">
        <v>1104</v>
      </c>
      <c r="I216" s="24">
        <v>1580</v>
      </c>
      <c r="J216" s="24">
        <v>-1011</v>
      </c>
      <c r="K216" s="24" t="s">
        <v>33</v>
      </c>
      <c r="L216" s="24" t="s">
        <v>40</v>
      </c>
      <c r="M216" s="24" t="s">
        <v>1136</v>
      </c>
      <c r="N216" s="26" t="s">
        <v>30</v>
      </c>
      <c r="O216" s="26" t="s">
        <v>30</v>
      </c>
      <c r="P216" s="26" t="str">
        <f>IF(NOT("https://maps.app.goo.gl/GNPJvfncnCM8V7ZDA" = ""), HYPERLINK("https://maps.app.goo.gl/GNPJvfncnCM8V7ZDA", "موقع"), "")</f>
        <v>موقع</v>
      </c>
      <c r="Q216" s="24">
        <v>29000</v>
      </c>
      <c r="R216" s="26" t="str">
        <f t="shared" si="3"/>
        <v>تقديم طلب</v>
      </c>
      <c r="S216" s="32" t="s">
        <v>4188</v>
      </c>
    </row>
    <row r="217" spans="1:19" s="23" customFormat="1" ht="90" x14ac:dyDescent="0.3">
      <c r="A217" s="24" t="s">
        <v>1130</v>
      </c>
      <c r="B217" s="25" t="s">
        <v>21</v>
      </c>
      <c r="C217" s="24" t="s">
        <v>22</v>
      </c>
      <c r="D217" s="24" t="s">
        <v>1100</v>
      </c>
      <c r="E217" s="24" t="s">
        <v>1101</v>
      </c>
      <c r="F217" s="24" t="s">
        <v>1102</v>
      </c>
      <c r="G217" s="24" t="s">
        <v>1103</v>
      </c>
      <c r="H217" s="24" t="s">
        <v>1104</v>
      </c>
      <c r="I217" s="24">
        <v>1580</v>
      </c>
      <c r="J217" s="24">
        <v>-109</v>
      </c>
      <c r="K217" s="24" t="s">
        <v>33</v>
      </c>
      <c r="L217" s="24" t="s">
        <v>1131</v>
      </c>
      <c r="M217" s="24" t="s">
        <v>1132</v>
      </c>
      <c r="N217" s="26" t="s">
        <v>30</v>
      </c>
      <c r="O217" s="26" t="s">
        <v>30</v>
      </c>
      <c r="P217" s="26" t="str">
        <f>IF(NOT("https://maps.app.goo.gl/GNPJvfncnCM8V7ZDA" = ""), HYPERLINK("https://maps.app.goo.gl/GNPJvfncnCM8V7ZDA", "موقع"), "")</f>
        <v>موقع</v>
      </c>
      <c r="Q217" s="24">
        <v>26000</v>
      </c>
      <c r="R217" s="26" t="str">
        <f t="shared" si="3"/>
        <v>تقديم طلب</v>
      </c>
      <c r="S217" s="32" t="s">
        <v>4189</v>
      </c>
    </row>
    <row r="218" spans="1:19" s="23" customFormat="1" ht="90" x14ac:dyDescent="0.3">
      <c r="A218" s="24" t="s">
        <v>1133</v>
      </c>
      <c r="B218" s="25" t="s">
        <v>21</v>
      </c>
      <c r="C218" s="24" t="s">
        <v>22</v>
      </c>
      <c r="D218" s="24" t="s">
        <v>1100</v>
      </c>
      <c r="E218" s="24" t="s">
        <v>1101</v>
      </c>
      <c r="F218" s="24" t="s">
        <v>1102</v>
      </c>
      <c r="G218" s="24" t="s">
        <v>1103</v>
      </c>
      <c r="H218" s="24" t="s">
        <v>1104</v>
      </c>
      <c r="I218" s="24">
        <v>1580</v>
      </c>
      <c r="J218" s="24">
        <v>-1010</v>
      </c>
      <c r="K218" s="24" t="s">
        <v>33</v>
      </c>
      <c r="L218" s="24" t="s">
        <v>1131</v>
      </c>
      <c r="M218" s="24" t="s">
        <v>1134</v>
      </c>
      <c r="N218" s="26" t="s">
        <v>30</v>
      </c>
      <c r="O218" s="26" t="s">
        <v>30</v>
      </c>
      <c r="P218" s="26" t="str">
        <f>IF(NOT("https://maps.app.goo.gl/GNPJvfncnCM8V7ZDA" = ""), HYPERLINK("https://maps.app.goo.gl/GNPJvfncnCM8V7ZDA", "موقع"), "")</f>
        <v>موقع</v>
      </c>
      <c r="Q218" s="24">
        <v>26000</v>
      </c>
      <c r="R218" s="26" t="str">
        <f t="shared" si="3"/>
        <v>تقديم طلب</v>
      </c>
      <c r="S218" s="32" t="s">
        <v>4190</v>
      </c>
    </row>
    <row r="219" spans="1:19" s="23" customFormat="1" ht="210" x14ac:dyDescent="0.3">
      <c r="A219" s="24" t="s">
        <v>1127</v>
      </c>
      <c r="B219" s="25" t="s">
        <v>21</v>
      </c>
      <c r="C219" s="24" t="s">
        <v>22</v>
      </c>
      <c r="D219" s="24" t="s">
        <v>1100</v>
      </c>
      <c r="E219" s="24" t="s">
        <v>1101</v>
      </c>
      <c r="F219" s="24" t="s">
        <v>1102</v>
      </c>
      <c r="G219" s="24" t="s">
        <v>1103</v>
      </c>
      <c r="H219" s="24" t="s">
        <v>1104</v>
      </c>
      <c r="I219" s="24">
        <v>1580</v>
      </c>
      <c r="J219" s="24">
        <v>-1022</v>
      </c>
      <c r="K219" s="24" t="s">
        <v>33</v>
      </c>
      <c r="L219" s="24" t="s">
        <v>1128</v>
      </c>
      <c r="M219" s="24" t="s">
        <v>1129</v>
      </c>
      <c r="N219" s="26" t="s">
        <v>30</v>
      </c>
      <c r="O219" s="26" t="s">
        <v>30</v>
      </c>
      <c r="P219" s="26" t="str">
        <f>IF(NOT("https://maps.app.goo.gl/PmwE1hpK62FCGpay8" = ""), HYPERLINK("https://maps.app.goo.gl/PmwE1hpK62FCGpay8", "موقع"), "")</f>
        <v>موقع</v>
      </c>
      <c r="Q219" s="24">
        <v>24000</v>
      </c>
      <c r="R219" s="26" t="str">
        <f t="shared" si="3"/>
        <v>تقديم طلب</v>
      </c>
      <c r="S219" s="32" t="s">
        <v>4191</v>
      </c>
    </row>
    <row r="220" spans="1:19" s="23" customFormat="1" ht="90" x14ac:dyDescent="0.3">
      <c r="A220" s="24" t="s">
        <v>1123</v>
      </c>
      <c r="B220" s="25" t="s">
        <v>21</v>
      </c>
      <c r="C220" s="24" t="s">
        <v>22</v>
      </c>
      <c r="D220" s="24" t="s">
        <v>1100</v>
      </c>
      <c r="E220" s="24" t="s">
        <v>1101</v>
      </c>
      <c r="F220" s="24" t="s">
        <v>1102</v>
      </c>
      <c r="G220" s="24" t="s">
        <v>1103</v>
      </c>
      <c r="H220" s="24" t="s">
        <v>1104</v>
      </c>
      <c r="I220" s="24">
        <v>1580</v>
      </c>
      <c r="J220" s="24">
        <v>-1018</v>
      </c>
      <c r="K220" s="24" t="s">
        <v>33</v>
      </c>
      <c r="L220" s="24" t="s">
        <v>1108</v>
      </c>
      <c r="M220" s="24" t="s">
        <v>1124</v>
      </c>
      <c r="N220" s="26" t="s">
        <v>30</v>
      </c>
      <c r="O220" s="26" t="s">
        <v>30</v>
      </c>
      <c r="P220" s="26" t="str">
        <f>IF(NOT("https://maps.app.goo.gl/GNPJvfncnCM8V7ZDA" = ""), HYPERLINK("https://maps.app.goo.gl/GNPJvfncnCM8V7ZDA", "موقع"), "")</f>
        <v>موقع</v>
      </c>
      <c r="Q220" s="24">
        <v>22000</v>
      </c>
      <c r="R220" s="26" t="str">
        <f t="shared" si="3"/>
        <v>تقديم طلب</v>
      </c>
      <c r="S220" s="32" t="s">
        <v>4192</v>
      </c>
    </row>
    <row r="221" spans="1:19" s="23" customFormat="1" ht="90" x14ac:dyDescent="0.3">
      <c r="A221" s="24" t="s">
        <v>1125</v>
      </c>
      <c r="B221" s="25" t="s">
        <v>21</v>
      </c>
      <c r="C221" s="24" t="s">
        <v>22</v>
      </c>
      <c r="D221" s="24" t="s">
        <v>1100</v>
      </c>
      <c r="E221" s="24" t="s">
        <v>1101</v>
      </c>
      <c r="F221" s="24" t="s">
        <v>1102</v>
      </c>
      <c r="G221" s="24" t="s">
        <v>1103</v>
      </c>
      <c r="H221" s="24" t="s">
        <v>1104</v>
      </c>
      <c r="I221" s="24">
        <v>1580</v>
      </c>
      <c r="J221" s="24">
        <v>-1019</v>
      </c>
      <c r="K221" s="24" t="s">
        <v>33</v>
      </c>
      <c r="L221" s="24" t="s">
        <v>1108</v>
      </c>
      <c r="M221" s="24" t="s">
        <v>1126</v>
      </c>
      <c r="N221" s="26" t="s">
        <v>30</v>
      </c>
      <c r="O221" s="26" t="s">
        <v>30</v>
      </c>
      <c r="P221" s="26" t="str">
        <f>IF(NOT("https://maps.app.goo.gl/GNPJvfncnCM8V7ZDA" = ""), HYPERLINK("https://maps.app.goo.gl/GNPJvfncnCM8V7ZDA", "موقع"), "")</f>
        <v>موقع</v>
      </c>
      <c r="Q221" s="24">
        <v>22000</v>
      </c>
      <c r="R221" s="26" t="str">
        <f t="shared" si="3"/>
        <v>تقديم طلب</v>
      </c>
      <c r="S221" s="32" t="s">
        <v>4193</v>
      </c>
    </row>
    <row r="222" spans="1:19" s="23" customFormat="1" ht="210" x14ac:dyDescent="0.3">
      <c r="A222" s="24" t="s">
        <v>1118</v>
      </c>
      <c r="B222" s="25" t="s">
        <v>21</v>
      </c>
      <c r="C222" s="24" t="s">
        <v>22</v>
      </c>
      <c r="D222" s="24" t="s">
        <v>1100</v>
      </c>
      <c r="E222" s="24" t="s">
        <v>1101</v>
      </c>
      <c r="F222" s="24" t="s">
        <v>1102</v>
      </c>
      <c r="G222" s="24" t="s">
        <v>1119</v>
      </c>
      <c r="H222" s="24" t="s">
        <v>1120</v>
      </c>
      <c r="I222" s="24">
        <v>281</v>
      </c>
      <c r="J222" s="24">
        <v>103</v>
      </c>
      <c r="K222" s="24" t="s">
        <v>28</v>
      </c>
      <c r="L222" s="24" t="s">
        <v>1121</v>
      </c>
      <c r="M222" s="24" t="s">
        <v>1122</v>
      </c>
      <c r="N222" s="26" t="s">
        <v>30</v>
      </c>
      <c r="O222" s="26" t="s">
        <v>30</v>
      </c>
      <c r="P222" s="26" t="str">
        <f>IF(NOT("https://maps.app.goo.gl/9oqv8F4tu54M7ChF6" = ""), HYPERLINK("https://maps.app.goo.gl/9oqv8F4tu54M7ChF6", "موقع"), "")</f>
        <v>موقع</v>
      </c>
      <c r="Q222" s="24">
        <v>13000</v>
      </c>
      <c r="R222" s="26" t="str">
        <f t="shared" si="3"/>
        <v>تقديم طلب</v>
      </c>
      <c r="S222" s="32" t="s">
        <v>4194</v>
      </c>
    </row>
    <row r="223" spans="1:19" s="23" customFormat="1" ht="105" x14ac:dyDescent="0.3">
      <c r="A223" s="24" t="s">
        <v>1137</v>
      </c>
      <c r="B223" s="25" t="s">
        <v>21</v>
      </c>
      <c r="C223" s="24" t="s">
        <v>50</v>
      </c>
      <c r="D223" s="24" t="s">
        <v>1100</v>
      </c>
      <c r="E223" s="24" t="s">
        <v>1101</v>
      </c>
      <c r="F223" s="24" t="s">
        <v>1102</v>
      </c>
      <c r="G223" s="24" t="s">
        <v>1138</v>
      </c>
      <c r="H223" s="24" t="s">
        <v>1139</v>
      </c>
      <c r="I223" s="24">
        <v>234</v>
      </c>
      <c r="J223" s="24">
        <v>121</v>
      </c>
      <c r="K223" s="24" t="s">
        <v>73</v>
      </c>
      <c r="L223" s="24" t="s">
        <v>1140</v>
      </c>
      <c r="M223" s="24" t="s">
        <v>1141</v>
      </c>
      <c r="N223" s="26" t="str">
        <f>IF(NOT("https://youtu.be/sWKfBmYY4cQ" = ""), HYPERLINK("https://youtu.be/sWKfBmYY4cQ", "فيديو"), "")</f>
        <v>فيديو</v>
      </c>
      <c r="O223" s="26" t="str">
        <f>IF(NOT("https://truemarkets3d.net/3d-virtual-tour/housingbank-realestate/phase3/aq-re-100385/index.html" = ""), HYPERLINK("https://truemarkets3d.net/3d-virtual-tour/housingbank-realestate/phase3/aq-re-100385/index.html", "جولة"), "")</f>
        <v>جولة</v>
      </c>
      <c r="P223" s="26" t="str">
        <f>IF(NOT("https://maps.app.goo.gl/3HcoYjFkhR7F6YYX6" = ""), HYPERLINK("https://maps.app.goo.gl/3HcoYjFkhR7F6YYX6", "موقع"), "")</f>
        <v>موقع</v>
      </c>
      <c r="Q223" s="24">
        <v>124000</v>
      </c>
      <c r="R223" s="26" t="str">
        <f t="shared" si="3"/>
        <v>تقديم طلب</v>
      </c>
      <c r="S223" s="32" t="s">
        <v>4195</v>
      </c>
    </row>
    <row r="224" spans="1:19" s="23" customFormat="1" ht="90" x14ac:dyDescent="0.3">
      <c r="A224" s="24" t="s">
        <v>1535</v>
      </c>
      <c r="B224" s="25" t="s">
        <v>21</v>
      </c>
      <c r="C224" s="24" t="s">
        <v>59</v>
      </c>
      <c r="D224" s="24" t="s">
        <v>1100</v>
      </c>
      <c r="E224" s="24" t="s">
        <v>1143</v>
      </c>
      <c r="F224" s="24" t="s">
        <v>1536</v>
      </c>
      <c r="G224" s="24" t="s">
        <v>1537</v>
      </c>
      <c r="H224" s="24" t="s">
        <v>1538</v>
      </c>
      <c r="I224" s="24">
        <v>2389</v>
      </c>
      <c r="J224" s="24">
        <v>-102</v>
      </c>
      <c r="K224" s="24" t="s">
        <v>43</v>
      </c>
      <c r="L224" s="24" t="s">
        <v>1539</v>
      </c>
      <c r="M224" s="24" t="s">
        <v>1540</v>
      </c>
      <c r="N224" s="26" t="s">
        <v>30</v>
      </c>
      <c r="O224" s="26" t="s">
        <v>30</v>
      </c>
      <c r="P224" s="26" t="str">
        <f>IF(NOT("https://maps.app.goo.gl/KaDDJoWaGssoh92q8" = ""), HYPERLINK("https://maps.app.goo.gl/KaDDJoWaGssoh92q8", "موقع"), "")</f>
        <v>موقع</v>
      </c>
      <c r="Q224" s="24">
        <v>266000</v>
      </c>
      <c r="R224" s="26" t="str">
        <f t="shared" si="3"/>
        <v>تقديم طلب</v>
      </c>
      <c r="S224" s="32" t="s">
        <v>4196</v>
      </c>
    </row>
    <row r="225" spans="1:19" s="23" customFormat="1" ht="105" x14ac:dyDescent="0.3">
      <c r="A225" s="24" t="s">
        <v>1532</v>
      </c>
      <c r="B225" s="25" t="s">
        <v>21</v>
      </c>
      <c r="C225" s="24" t="s">
        <v>59</v>
      </c>
      <c r="D225" s="24" t="s">
        <v>1100</v>
      </c>
      <c r="E225" s="24" t="s">
        <v>1143</v>
      </c>
      <c r="F225" s="24" t="s">
        <v>1340</v>
      </c>
      <c r="G225" s="24" t="s">
        <v>1341</v>
      </c>
      <c r="H225" s="24" t="s">
        <v>1342</v>
      </c>
      <c r="I225" s="24">
        <v>1317</v>
      </c>
      <c r="J225" s="24">
        <v>0</v>
      </c>
      <c r="K225" s="24" t="s">
        <v>43</v>
      </c>
      <c r="L225" s="24" t="s">
        <v>1533</v>
      </c>
      <c r="M225" s="24" t="s">
        <v>1534</v>
      </c>
      <c r="N225" s="26" t="s">
        <v>30</v>
      </c>
      <c r="O225" s="26" t="s">
        <v>30</v>
      </c>
      <c r="P225" s="26" t="s">
        <v>30</v>
      </c>
      <c r="Q225" s="24">
        <v>224000</v>
      </c>
      <c r="R225" s="26" t="str">
        <f t="shared" si="3"/>
        <v>تقديم طلب</v>
      </c>
      <c r="S225" s="32" t="s">
        <v>4197</v>
      </c>
    </row>
    <row r="226" spans="1:19" s="23" customFormat="1" ht="90" x14ac:dyDescent="0.3">
      <c r="A226" s="24" t="s">
        <v>1527</v>
      </c>
      <c r="B226" s="25" t="s">
        <v>21</v>
      </c>
      <c r="C226" s="24" t="s">
        <v>59</v>
      </c>
      <c r="D226" s="24" t="s">
        <v>1100</v>
      </c>
      <c r="E226" s="24" t="s">
        <v>1101</v>
      </c>
      <c r="F226" s="24" t="s">
        <v>1102</v>
      </c>
      <c r="G226" s="24" t="s">
        <v>1528</v>
      </c>
      <c r="H226" s="24" t="s">
        <v>1529</v>
      </c>
      <c r="I226" s="24">
        <v>568</v>
      </c>
      <c r="J226" s="24">
        <v>-101</v>
      </c>
      <c r="K226" s="24" t="s">
        <v>43</v>
      </c>
      <c r="L226" s="24" t="s">
        <v>1530</v>
      </c>
      <c r="M226" s="24" t="s">
        <v>1531</v>
      </c>
      <c r="N226" s="26" t="s">
        <v>30</v>
      </c>
      <c r="O226" s="26" t="s">
        <v>30</v>
      </c>
      <c r="P226" s="26" t="str">
        <f>IF(NOT("https://maps.app.goo.gl/vRVuvgwGBAgdEN5k6" = ""), HYPERLINK("https://maps.app.goo.gl/vRVuvgwGBAgdEN5k6", "موقع"), "")</f>
        <v>موقع</v>
      </c>
      <c r="Q226" s="24">
        <v>164000</v>
      </c>
      <c r="R226" s="26" t="str">
        <f t="shared" si="3"/>
        <v>تقديم طلب</v>
      </c>
      <c r="S226" s="32" t="s">
        <v>4198</v>
      </c>
    </row>
    <row r="227" spans="1:19" s="23" customFormat="1" ht="90" x14ac:dyDescent="0.3">
      <c r="A227" s="24" t="s">
        <v>1522</v>
      </c>
      <c r="B227" s="25" t="s">
        <v>21</v>
      </c>
      <c r="C227" s="24" t="s">
        <v>59</v>
      </c>
      <c r="D227" s="24" t="s">
        <v>1100</v>
      </c>
      <c r="E227" s="24" t="s">
        <v>1424</v>
      </c>
      <c r="F227" s="24" t="s">
        <v>1425</v>
      </c>
      <c r="G227" s="24" t="s">
        <v>1523</v>
      </c>
      <c r="H227" s="24" t="s">
        <v>1524</v>
      </c>
      <c r="I227" s="24">
        <v>1278</v>
      </c>
      <c r="J227" s="24">
        <v>111</v>
      </c>
      <c r="K227" s="24" t="s">
        <v>43</v>
      </c>
      <c r="L227" s="24" t="s">
        <v>1525</v>
      </c>
      <c r="M227" s="24" t="s">
        <v>1526</v>
      </c>
      <c r="N227" s="26" t="s">
        <v>30</v>
      </c>
      <c r="O227" s="26" t="str">
        <f>IF(NOT("https://www.true-markets.net/media/360tour/housing-bank/1278-111/index.html" = ""), HYPERLINK("https://www.true-markets.net/media/360tour/housing-bank/1278-111/index.html", "جولة"), "")</f>
        <v>جولة</v>
      </c>
      <c r="P227" s="26" t="s">
        <v>30</v>
      </c>
      <c r="Q227" s="24">
        <v>127000</v>
      </c>
      <c r="R227" s="26" t="str">
        <f t="shared" si="3"/>
        <v>تقديم طلب</v>
      </c>
      <c r="S227" s="32" t="s">
        <v>4199</v>
      </c>
    </row>
    <row r="228" spans="1:19" s="23" customFormat="1" ht="90" x14ac:dyDescent="0.3">
      <c r="A228" s="24" t="s">
        <v>1517</v>
      </c>
      <c r="B228" s="25" t="s">
        <v>21</v>
      </c>
      <c r="C228" s="24" t="s">
        <v>59</v>
      </c>
      <c r="D228" s="24" t="s">
        <v>1100</v>
      </c>
      <c r="E228" s="24" t="s">
        <v>1101</v>
      </c>
      <c r="F228" s="24" t="s">
        <v>1102</v>
      </c>
      <c r="G228" s="24" t="s">
        <v>1518</v>
      </c>
      <c r="H228" s="24" t="s">
        <v>1519</v>
      </c>
      <c r="I228" s="24">
        <v>1121</v>
      </c>
      <c r="J228" s="24">
        <v>111</v>
      </c>
      <c r="K228" s="24" t="s">
        <v>43</v>
      </c>
      <c r="L228" s="24" t="s">
        <v>1520</v>
      </c>
      <c r="M228" s="24" t="s">
        <v>1521</v>
      </c>
      <c r="N228" s="26" t="s">
        <v>30</v>
      </c>
      <c r="O228" s="26" t="s">
        <v>30</v>
      </c>
      <c r="P228" s="26" t="str">
        <f>IF(NOT("https://maps.app.goo.gl/BmWitPWPQ29bRjzo6" = ""), HYPERLINK("https://maps.app.goo.gl/BmWitPWPQ29bRjzo6", "موقع"), "")</f>
        <v>موقع</v>
      </c>
      <c r="Q228" s="24">
        <v>115000</v>
      </c>
      <c r="R228" s="26" t="str">
        <f t="shared" si="3"/>
        <v>تقديم طلب</v>
      </c>
      <c r="S228" s="32" t="s">
        <v>4200</v>
      </c>
    </row>
    <row r="229" spans="1:19" s="23" customFormat="1" ht="90" x14ac:dyDescent="0.3">
      <c r="A229" s="24" t="s">
        <v>1515</v>
      </c>
      <c r="B229" s="25" t="s">
        <v>21</v>
      </c>
      <c r="C229" s="24" t="s">
        <v>59</v>
      </c>
      <c r="D229" s="24" t="s">
        <v>1100</v>
      </c>
      <c r="E229" s="24" t="s">
        <v>1263</v>
      </c>
      <c r="F229" s="24" t="s">
        <v>1381</v>
      </c>
      <c r="G229" s="24" t="s">
        <v>1382</v>
      </c>
      <c r="H229" s="24" t="s">
        <v>1383</v>
      </c>
      <c r="I229" s="24">
        <v>403</v>
      </c>
      <c r="J229" s="24">
        <v>101</v>
      </c>
      <c r="K229" s="24" t="s">
        <v>28</v>
      </c>
      <c r="L229" s="24" t="s">
        <v>1476</v>
      </c>
      <c r="M229" s="24" t="s">
        <v>1516</v>
      </c>
      <c r="N229" s="26" t="s">
        <v>30</v>
      </c>
      <c r="O229" s="26" t="str">
        <f>IF(NOT("https://truemarkets3d.net/3d-virtual-tour/housingbank-realestate/phase3/aq-re-100028/index.html" = ""), HYPERLINK("https://truemarkets3d.net/3d-virtual-tour/housingbank-realestate/phase3/aq-re-100028/index.html", "جولة"), "")</f>
        <v>جولة</v>
      </c>
      <c r="P229" s="26" t="str">
        <f>IF(NOT("https://maps.app.goo.gl/8xbcN4kXprhQ9SPx7" = ""), HYPERLINK("https://maps.app.goo.gl/8xbcN4kXprhQ9SPx7", "موقع"), "")</f>
        <v>موقع</v>
      </c>
      <c r="Q229" s="24">
        <v>110000</v>
      </c>
      <c r="R229" s="26" t="str">
        <f t="shared" si="3"/>
        <v>تقديم طلب</v>
      </c>
      <c r="S229" s="32" t="s">
        <v>4201</v>
      </c>
    </row>
    <row r="230" spans="1:19" s="23" customFormat="1" ht="90" x14ac:dyDescent="0.3">
      <c r="A230" s="24" t="s">
        <v>1511</v>
      </c>
      <c r="B230" s="25" t="s">
        <v>21</v>
      </c>
      <c r="C230" s="24" t="s">
        <v>59</v>
      </c>
      <c r="D230" s="24" t="s">
        <v>1100</v>
      </c>
      <c r="E230" s="24" t="s">
        <v>1101</v>
      </c>
      <c r="F230" s="24" t="s">
        <v>1102</v>
      </c>
      <c r="G230" s="24" t="s">
        <v>1512</v>
      </c>
      <c r="H230" s="24" t="s">
        <v>1489</v>
      </c>
      <c r="I230" s="24">
        <v>29</v>
      </c>
      <c r="J230" s="24">
        <v>-101</v>
      </c>
      <c r="K230" s="24" t="s">
        <v>33</v>
      </c>
      <c r="L230" s="24" t="s">
        <v>1513</v>
      </c>
      <c r="M230" s="24" t="s">
        <v>1514</v>
      </c>
      <c r="N230" s="26" t="s">
        <v>30</v>
      </c>
      <c r="O230" s="26" t="s">
        <v>30</v>
      </c>
      <c r="P230" s="26" t="s">
        <v>30</v>
      </c>
      <c r="Q230" s="24">
        <v>108000</v>
      </c>
      <c r="R230" s="26" t="str">
        <f t="shared" si="3"/>
        <v>تقديم طلب</v>
      </c>
      <c r="S230" s="32" t="s">
        <v>4202</v>
      </c>
    </row>
    <row r="231" spans="1:19" s="23" customFormat="1" ht="105" x14ac:dyDescent="0.3">
      <c r="A231" s="24" t="s">
        <v>1506</v>
      </c>
      <c r="B231" s="25" t="s">
        <v>21</v>
      </c>
      <c r="C231" s="24" t="s">
        <v>59</v>
      </c>
      <c r="D231" s="24" t="s">
        <v>1100</v>
      </c>
      <c r="E231" s="24" t="s">
        <v>1472</v>
      </c>
      <c r="F231" s="24" t="s">
        <v>1507</v>
      </c>
      <c r="G231" s="24" t="s">
        <v>1508</v>
      </c>
      <c r="H231" s="24" t="s">
        <v>1509</v>
      </c>
      <c r="I231" s="24">
        <v>398</v>
      </c>
      <c r="J231" s="24">
        <v>-111</v>
      </c>
      <c r="K231" s="24" t="s">
        <v>33</v>
      </c>
      <c r="L231" s="24" t="s">
        <v>881</v>
      </c>
      <c r="M231" s="24" t="s">
        <v>1510</v>
      </c>
      <c r="N231" s="26" t="str">
        <f>IF(NOT("https://youtu.be/HnI2uq5itUI" = ""), HYPERLINK("https://youtu.be/HnI2uq5itUI", "فيديو"), "")</f>
        <v>فيديو</v>
      </c>
      <c r="O231" s="26" t="str">
        <f>IF(NOT("https://truemarkets3d.net/3d-virtual-tour/housingbank-realestate/phase3/aq-re-100565/index.html" = ""), HYPERLINK("https://truemarkets3d.net/3d-virtual-tour/housingbank-realestate/phase3/aq-re-100565/index.html", "جولة"), "")</f>
        <v>جولة</v>
      </c>
      <c r="P231" s="26" t="str">
        <f>IF(NOT("https://maps.app.goo.gl/LVzG22XCMkTF2GnN9" = ""), HYPERLINK("https://maps.app.goo.gl/LVzG22XCMkTF2GnN9", "موقع"), "")</f>
        <v>موقع</v>
      </c>
      <c r="Q231" s="24">
        <v>95000</v>
      </c>
      <c r="R231" s="26" t="str">
        <f t="shared" si="3"/>
        <v>تقديم طلب</v>
      </c>
      <c r="S231" s="32" t="s">
        <v>4203</v>
      </c>
    </row>
    <row r="232" spans="1:19" s="23" customFormat="1" ht="90" x14ac:dyDescent="0.3">
      <c r="A232" s="24" t="s">
        <v>1503</v>
      </c>
      <c r="B232" s="25" t="s">
        <v>21</v>
      </c>
      <c r="C232" s="24" t="s">
        <v>59</v>
      </c>
      <c r="D232" s="24" t="s">
        <v>1100</v>
      </c>
      <c r="E232" s="24" t="s">
        <v>1424</v>
      </c>
      <c r="F232" s="24" t="s">
        <v>1425</v>
      </c>
      <c r="G232" s="24" t="s">
        <v>1500</v>
      </c>
      <c r="H232" s="24" t="s">
        <v>1501</v>
      </c>
      <c r="I232" s="24">
        <v>815</v>
      </c>
      <c r="J232" s="24">
        <v>-101</v>
      </c>
      <c r="K232" s="24" t="s">
        <v>33</v>
      </c>
      <c r="L232" s="24" t="s">
        <v>1504</v>
      </c>
      <c r="M232" s="24" t="s">
        <v>1505</v>
      </c>
      <c r="N232" s="26" t="s">
        <v>30</v>
      </c>
      <c r="O232" s="26" t="s">
        <v>30</v>
      </c>
      <c r="P232" s="26" t="s">
        <v>30</v>
      </c>
      <c r="Q232" s="24">
        <v>85000</v>
      </c>
      <c r="R232" s="26" t="str">
        <f t="shared" si="3"/>
        <v>تقديم طلب</v>
      </c>
      <c r="S232" s="32" t="s">
        <v>4204</v>
      </c>
    </row>
    <row r="233" spans="1:19" s="23" customFormat="1" ht="90" x14ac:dyDescent="0.3">
      <c r="A233" s="24" t="s">
        <v>1499</v>
      </c>
      <c r="B233" s="25" t="s">
        <v>21</v>
      </c>
      <c r="C233" s="24" t="s">
        <v>59</v>
      </c>
      <c r="D233" s="24" t="s">
        <v>1100</v>
      </c>
      <c r="E233" s="24" t="s">
        <v>1424</v>
      </c>
      <c r="F233" s="24" t="s">
        <v>1425</v>
      </c>
      <c r="G233" s="24" t="s">
        <v>1500</v>
      </c>
      <c r="H233" s="24" t="s">
        <v>1501</v>
      </c>
      <c r="I233" s="24">
        <v>863</v>
      </c>
      <c r="J233" s="24">
        <v>102</v>
      </c>
      <c r="K233" s="24" t="s">
        <v>28</v>
      </c>
      <c r="L233" s="24" t="s">
        <v>1215</v>
      </c>
      <c r="M233" s="24" t="s">
        <v>1502</v>
      </c>
      <c r="N233" s="26" t="s">
        <v>30</v>
      </c>
      <c r="O233" s="26" t="s">
        <v>30</v>
      </c>
      <c r="P233" s="26" t="str">
        <f>IF(NOT("https://maps.app.goo.gl/uGiHJUmNLjAKrrag6" = ""), HYPERLINK("https://maps.app.goo.gl/uGiHJUmNLjAKrrag6", "موقع"), "")</f>
        <v>موقع</v>
      </c>
      <c r="Q233" s="24">
        <v>82000</v>
      </c>
      <c r="R233" s="26" t="str">
        <f t="shared" si="3"/>
        <v>تقديم طلب</v>
      </c>
      <c r="S233" s="32" t="s">
        <v>4205</v>
      </c>
    </row>
    <row r="234" spans="1:19" s="23" customFormat="1" ht="105" x14ac:dyDescent="0.3">
      <c r="A234" s="24" t="s">
        <v>1496</v>
      </c>
      <c r="B234" s="25" t="s">
        <v>21</v>
      </c>
      <c r="C234" s="24" t="s">
        <v>59</v>
      </c>
      <c r="D234" s="24" t="s">
        <v>1100</v>
      </c>
      <c r="E234" s="24" t="s">
        <v>1101</v>
      </c>
      <c r="F234" s="24" t="s">
        <v>1102</v>
      </c>
      <c r="G234" s="24" t="s">
        <v>1292</v>
      </c>
      <c r="H234" s="24" t="s">
        <v>1293</v>
      </c>
      <c r="I234" s="24">
        <v>1960</v>
      </c>
      <c r="J234" s="24">
        <v>131</v>
      </c>
      <c r="K234" s="24" t="s">
        <v>55</v>
      </c>
      <c r="L234" s="24" t="s">
        <v>1497</v>
      </c>
      <c r="M234" s="24" t="s">
        <v>1498</v>
      </c>
      <c r="N234" s="26" t="s">
        <v>30</v>
      </c>
      <c r="O234" s="26" t="str">
        <f>IF(NOT("https://www.true-markets.net/media/360tour/housing-bank/1960-131/index.html" = ""), HYPERLINK("https://www.true-markets.net/media/360tour/housing-bank/1960-131/index.html", "جولة"), "")</f>
        <v>جولة</v>
      </c>
      <c r="P234" s="26" t="str">
        <f>IF(NOT("https://maps.app.goo.gl/Nq3Tn1h3kFCRPX2N9" = ""), HYPERLINK("https://maps.app.goo.gl/Nq3Tn1h3kFCRPX2N9", "موقع"), "")</f>
        <v>موقع</v>
      </c>
      <c r="Q234" s="24">
        <v>78000</v>
      </c>
      <c r="R234" s="26" t="str">
        <f t="shared" si="3"/>
        <v>تقديم طلب</v>
      </c>
      <c r="S234" s="32" t="s">
        <v>4206</v>
      </c>
    </row>
    <row r="235" spans="1:19" s="23" customFormat="1" ht="105" x14ac:dyDescent="0.3">
      <c r="A235" s="24" t="s">
        <v>1491</v>
      </c>
      <c r="B235" s="25" t="s">
        <v>21</v>
      </c>
      <c r="C235" s="24" t="s">
        <v>59</v>
      </c>
      <c r="D235" s="24" t="s">
        <v>1100</v>
      </c>
      <c r="E235" s="24" t="s">
        <v>1424</v>
      </c>
      <c r="F235" s="24" t="s">
        <v>1425</v>
      </c>
      <c r="G235" s="24" t="s">
        <v>1492</v>
      </c>
      <c r="H235" s="24" t="s">
        <v>1493</v>
      </c>
      <c r="I235" s="24">
        <v>450</v>
      </c>
      <c r="J235" s="24">
        <v>122</v>
      </c>
      <c r="K235" s="24" t="s">
        <v>73</v>
      </c>
      <c r="L235" s="24" t="s">
        <v>1494</v>
      </c>
      <c r="M235" s="24" t="s">
        <v>1495</v>
      </c>
      <c r="N235" s="26" t="s">
        <v>30</v>
      </c>
      <c r="O235" s="26" t="str">
        <f>IF(NOT("https://truemarkets3d.net/3d-virtual-tour/housingbank-realestate/phase3/aq-re-100521/index.html" = ""), HYPERLINK("https://truemarkets3d.net/3d-virtual-tour/housingbank-realestate/phase3/aq-re-100521/index.html", "جولة"), "")</f>
        <v>جولة</v>
      </c>
      <c r="P235" s="26" t="str">
        <f>IF(NOT("https://maps.app.goo.gl/qLQ5BPu7PfNaEtY78" = ""), HYPERLINK("https://maps.app.goo.gl/qLQ5BPu7PfNaEtY78", "موقع"), "")</f>
        <v>موقع</v>
      </c>
      <c r="Q235" s="24">
        <v>75000</v>
      </c>
      <c r="R235" s="26" t="str">
        <f t="shared" si="3"/>
        <v>تقديم طلب</v>
      </c>
      <c r="S235" s="32" t="s">
        <v>4207</v>
      </c>
    </row>
    <row r="236" spans="1:19" s="23" customFormat="1" ht="90" x14ac:dyDescent="0.3">
      <c r="A236" s="24" t="s">
        <v>1487</v>
      </c>
      <c r="B236" s="25" t="s">
        <v>21</v>
      </c>
      <c r="C236" s="24" t="s">
        <v>59</v>
      </c>
      <c r="D236" s="24" t="s">
        <v>1100</v>
      </c>
      <c r="E236" s="24" t="s">
        <v>1472</v>
      </c>
      <c r="F236" s="24" t="s">
        <v>1473</v>
      </c>
      <c r="G236" s="24" t="s">
        <v>1488</v>
      </c>
      <c r="H236" s="24" t="s">
        <v>1489</v>
      </c>
      <c r="I236" s="24">
        <v>1328</v>
      </c>
      <c r="J236" s="24">
        <v>132</v>
      </c>
      <c r="K236" s="24" t="s">
        <v>55</v>
      </c>
      <c r="L236" s="24" t="s">
        <v>548</v>
      </c>
      <c r="M236" s="24" t="s">
        <v>1490</v>
      </c>
      <c r="N236" s="26" t="s">
        <v>30</v>
      </c>
      <c r="O236" s="26" t="str">
        <f>IF(NOT("https://truemarkets3d.net/3d-virtual-tour/housingbank-realestate/phase3/aq-re-100113/index.html" = ""), HYPERLINK("https://truemarkets3d.net/3d-virtual-tour/housingbank-realestate/phase3/aq-re-100113/index.html", "جولة"), "")</f>
        <v>جولة</v>
      </c>
      <c r="P236" s="26" t="str">
        <f>IF(NOT("https://maps.app.goo.gl/RcLya9VzoKjrcVjX7" = ""), HYPERLINK("https://maps.app.goo.gl/RcLya9VzoKjrcVjX7", "موقع"), "")</f>
        <v>موقع</v>
      </c>
      <c r="Q236" s="24">
        <v>74000</v>
      </c>
      <c r="R236" s="26" t="str">
        <f t="shared" si="3"/>
        <v>تقديم طلب</v>
      </c>
      <c r="S236" s="32" t="s">
        <v>4208</v>
      </c>
    </row>
    <row r="237" spans="1:19" s="23" customFormat="1" ht="90" x14ac:dyDescent="0.3">
      <c r="A237" s="24" t="s">
        <v>1484</v>
      </c>
      <c r="B237" s="25" t="s">
        <v>21</v>
      </c>
      <c r="C237" s="24" t="s">
        <v>59</v>
      </c>
      <c r="D237" s="24" t="s">
        <v>1100</v>
      </c>
      <c r="E237" s="24" t="s">
        <v>1263</v>
      </c>
      <c r="F237" s="24" t="s">
        <v>1461</v>
      </c>
      <c r="G237" s="24" t="s">
        <v>1485</v>
      </c>
      <c r="H237" s="24" t="s">
        <v>1463</v>
      </c>
      <c r="I237" s="24">
        <v>2921</v>
      </c>
      <c r="J237" s="24">
        <v>-101</v>
      </c>
      <c r="K237" s="24" t="s">
        <v>33</v>
      </c>
      <c r="L237" s="24" t="s">
        <v>1241</v>
      </c>
      <c r="M237" s="24" t="s">
        <v>1486</v>
      </c>
      <c r="N237" s="26" t="s">
        <v>30</v>
      </c>
      <c r="O237" s="26" t="s">
        <v>30</v>
      </c>
      <c r="P237" s="26" t="str">
        <f>IF(NOT("https://maps.app.goo.gl/AaPL6x8f3Epshw3A6" = ""), HYPERLINK("https://maps.app.goo.gl/AaPL6x8f3Epshw3A6", "موقع"), "")</f>
        <v>موقع</v>
      </c>
      <c r="Q237" s="24">
        <v>72000</v>
      </c>
      <c r="R237" s="26" t="str">
        <f t="shared" si="3"/>
        <v>تقديم طلب</v>
      </c>
      <c r="S237" s="32" t="s">
        <v>4209</v>
      </c>
    </row>
    <row r="238" spans="1:19" s="23" customFormat="1" ht="90" x14ac:dyDescent="0.3">
      <c r="A238" s="24" t="s">
        <v>1482</v>
      </c>
      <c r="B238" s="25" t="s">
        <v>21</v>
      </c>
      <c r="C238" s="24" t="s">
        <v>59</v>
      </c>
      <c r="D238" s="24" t="s">
        <v>1100</v>
      </c>
      <c r="E238" s="24" t="s">
        <v>1162</v>
      </c>
      <c r="F238" s="24" t="s">
        <v>1277</v>
      </c>
      <c r="G238" s="24" t="s">
        <v>1326</v>
      </c>
      <c r="H238" s="24" t="s">
        <v>1279</v>
      </c>
      <c r="I238" s="24">
        <v>1706</v>
      </c>
      <c r="J238" s="24">
        <v>103</v>
      </c>
      <c r="K238" s="24" t="s">
        <v>28</v>
      </c>
      <c r="L238" s="24" t="s">
        <v>160</v>
      </c>
      <c r="M238" s="24" t="s">
        <v>1483</v>
      </c>
      <c r="N238" s="26" t="s">
        <v>30</v>
      </c>
      <c r="O238" s="26" t="s">
        <v>30</v>
      </c>
      <c r="P238" s="26" t="str">
        <f>IF(NOT("https://maps.app.goo.gl/LH53HbcRSHAA2F9Q7" = ""), HYPERLINK("https://maps.app.goo.gl/LH53HbcRSHAA2F9Q7", "موقع"), "")</f>
        <v>موقع</v>
      </c>
      <c r="Q238" s="24">
        <v>71000</v>
      </c>
      <c r="R238" s="26" t="str">
        <f t="shared" si="3"/>
        <v>تقديم طلب</v>
      </c>
      <c r="S238" s="32" t="s">
        <v>4210</v>
      </c>
    </row>
    <row r="239" spans="1:19" s="23" customFormat="1" ht="90" x14ac:dyDescent="0.3">
      <c r="A239" s="24" t="s">
        <v>1478</v>
      </c>
      <c r="B239" s="25" t="s">
        <v>21</v>
      </c>
      <c r="C239" s="24" t="s">
        <v>59</v>
      </c>
      <c r="D239" s="24" t="s">
        <v>1100</v>
      </c>
      <c r="E239" s="24" t="s">
        <v>1162</v>
      </c>
      <c r="F239" s="24" t="s">
        <v>1183</v>
      </c>
      <c r="G239" s="24" t="s">
        <v>1285</v>
      </c>
      <c r="H239" s="24" t="s">
        <v>1479</v>
      </c>
      <c r="I239" s="24">
        <v>2418</v>
      </c>
      <c r="J239" s="24">
        <v>121</v>
      </c>
      <c r="K239" s="24" t="s">
        <v>73</v>
      </c>
      <c r="L239" s="24" t="s">
        <v>1480</v>
      </c>
      <c r="M239" s="24" t="s">
        <v>1481</v>
      </c>
      <c r="N239" s="26" t="s">
        <v>30</v>
      </c>
      <c r="O239" s="26" t="s">
        <v>30</v>
      </c>
      <c r="P239" s="26" t="str">
        <f>IF(NOT("https://maps.app.goo.gl/P4ZHVhL2SDqrEY9z8" = ""), HYPERLINK("https://maps.app.goo.gl/P4ZHVhL2SDqrEY9z8", "موقع"), "")</f>
        <v>موقع</v>
      </c>
      <c r="Q239" s="24">
        <v>70000</v>
      </c>
      <c r="R239" s="26" t="str">
        <f t="shared" si="3"/>
        <v>تقديم طلب</v>
      </c>
      <c r="S239" s="32" t="s">
        <v>4211</v>
      </c>
    </row>
    <row r="240" spans="1:19" s="23" customFormat="1" ht="90" x14ac:dyDescent="0.3">
      <c r="A240" s="24" t="s">
        <v>1468</v>
      </c>
      <c r="B240" s="25" t="s">
        <v>21</v>
      </c>
      <c r="C240" s="24" t="s">
        <v>59</v>
      </c>
      <c r="D240" s="24" t="s">
        <v>1100</v>
      </c>
      <c r="E240" s="24" t="s">
        <v>1101</v>
      </c>
      <c r="F240" s="24" t="s">
        <v>1102</v>
      </c>
      <c r="G240" s="24" t="s">
        <v>1292</v>
      </c>
      <c r="H240" s="24" t="s">
        <v>1293</v>
      </c>
      <c r="I240" s="24">
        <v>1934</v>
      </c>
      <c r="J240" s="24">
        <v>-102</v>
      </c>
      <c r="K240" s="24" t="s">
        <v>28</v>
      </c>
      <c r="L240" s="24" t="s">
        <v>1469</v>
      </c>
      <c r="M240" s="24" t="s">
        <v>1470</v>
      </c>
      <c r="N240" s="26" t="s">
        <v>30</v>
      </c>
      <c r="O240" s="26" t="str">
        <f>IF(NOT("https://truemarkets3d.net/3d-virtual-tour/housingbank-realestate/phase3/aq-re-100749/index.html" = ""), HYPERLINK("https://truemarkets3d.net/3d-virtual-tour/housingbank-realestate/phase3/aq-re-100749/index.html", "جولة"), "")</f>
        <v>جولة</v>
      </c>
      <c r="P240" s="26" t="str">
        <f>IF(NOT("https://maps.app.goo.gl/NUz9XJrJbDQFJvDU6" = ""), HYPERLINK("https://maps.app.goo.gl/NUz9XJrJbDQFJvDU6", "موقع"), "")</f>
        <v>موقع</v>
      </c>
      <c r="Q240" s="24">
        <v>68000</v>
      </c>
      <c r="R240" s="26" t="str">
        <f t="shared" si="3"/>
        <v>تقديم طلب</v>
      </c>
      <c r="S240" s="32" t="s">
        <v>4212</v>
      </c>
    </row>
    <row r="241" spans="1:19" s="23" customFormat="1" ht="90" x14ac:dyDescent="0.3">
      <c r="A241" s="24" t="s">
        <v>1471</v>
      </c>
      <c r="B241" s="25" t="s">
        <v>21</v>
      </c>
      <c r="C241" s="24" t="s">
        <v>59</v>
      </c>
      <c r="D241" s="24" t="s">
        <v>1100</v>
      </c>
      <c r="E241" s="24" t="s">
        <v>1472</v>
      </c>
      <c r="F241" s="24" t="s">
        <v>1473</v>
      </c>
      <c r="G241" s="24" t="s">
        <v>1474</v>
      </c>
      <c r="H241" s="24" t="s">
        <v>1475</v>
      </c>
      <c r="I241" s="24">
        <v>439</v>
      </c>
      <c r="J241" s="24">
        <v>-101</v>
      </c>
      <c r="K241" s="24" t="s">
        <v>33</v>
      </c>
      <c r="L241" s="24" t="s">
        <v>1476</v>
      </c>
      <c r="M241" s="24" t="s">
        <v>1477</v>
      </c>
      <c r="N241" s="26" t="s">
        <v>30</v>
      </c>
      <c r="O241" s="26" t="s">
        <v>30</v>
      </c>
      <c r="P241" s="26" t="s">
        <v>30</v>
      </c>
      <c r="Q241" s="24">
        <v>68000</v>
      </c>
      <c r="R241" s="26" t="str">
        <f t="shared" si="3"/>
        <v>تقديم طلب</v>
      </c>
      <c r="S241" s="32" t="s">
        <v>4213</v>
      </c>
    </row>
    <row r="242" spans="1:19" s="23" customFormat="1" ht="90" x14ac:dyDescent="0.3">
      <c r="A242" s="24" t="s">
        <v>1465</v>
      </c>
      <c r="B242" s="25" t="s">
        <v>21</v>
      </c>
      <c r="C242" s="24" t="s">
        <v>59</v>
      </c>
      <c r="D242" s="24" t="s">
        <v>1100</v>
      </c>
      <c r="E242" s="24" t="s">
        <v>1162</v>
      </c>
      <c r="F242" s="24" t="s">
        <v>1277</v>
      </c>
      <c r="G242" s="24" t="s">
        <v>1326</v>
      </c>
      <c r="H242" s="24" t="s">
        <v>1279</v>
      </c>
      <c r="I242" s="24">
        <v>1730</v>
      </c>
      <c r="J242" s="24">
        <v>111</v>
      </c>
      <c r="K242" s="24" t="s">
        <v>43</v>
      </c>
      <c r="L242" s="24" t="s">
        <v>1466</v>
      </c>
      <c r="M242" s="24" t="s">
        <v>1467</v>
      </c>
      <c r="N242" s="26" t="s">
        <v>30</v>
      </c>
      <c r="O242" s="26" t="s">
        <v>30</v>
      </c>
      <c r="P242" s="26" t="str">
        <f>IF(NOT("https://maps.app.goo.gl/wEFbfAr76b6go7Ty7" = ""), HYPERLINK("https://maps.app.goo.gl/wEFbfAr76b6go7Ty7", "موقع"), "")</f>
        <v>موقع</v>
      </c>
      <c r="Q242" s="24">
        <v>66000</v>
      </c>
      <c r="R242" s="26" t="str">
        <f t="shared" si="3"/>
        <v>تقديم طلب</v>
      </c>
      <c r="S242" s="32" t="s">
        <v>4214</v>
      </c>
    </row>
    <row r="243" spans="1:19" s="23" customFormat="1" ht="90" x14ac:dyDescent="0.3">
      <c r="A243" s="24" t="s">
        <v>1460</v>
      </c>
      <c r="B243" s="25" t="s">
        <v>21</v>
      </c>
      <c r="C243" s="24" t="s">
        <v>59</v>
      </c>
      <c r="D243" s="24" t="s">
        <v>1100</v>
      </c>
      <c r="E243" s="24" t="s">
        <v>1263</v>
      </c>
      <c r="F243" s="24" t="s">
        <v>1461</v>
      </c>
      <c r="G243" s="24" t="s">
        <v>1462</v>
      </c>
      <c r="H243" s="24" t="s">
        <v>1463</v>
      </c>
      <c r="I243" s="24">
        <v>451</v>
      </c>
      <c r="J243" s="24">
        <v>101</v>
      </c>
      <c r="K243" s="24" t="s">
        <v>28</v>
      </c>
      <c r="L243" s="24" t="s">
        <v>208</v>
      </c>
      <c r="M243" s="24" t="s">
        <v>1464</v>
      </c>
      <c r="N243" s="26" t="s">
        <v>30</v>
      </c>
      <c r="O243" s="26" t="s">
        <v>30</v>
      </c>
      <c r="P243" s="26" t="str">
        <f>IF(NOT("https://maps.app.goo.gl/mFnjNEXHi6AX1uGB8" = ""), HYPERLINK("https://maps.app.goo.gl/mFnjNEXHi6AX1uGB8", "موقع"), "")</f>
        <v>موقع</v>
      </c>
      <c r="Q243" s="24">
        <v>63000</v>
      </c>
      <c r="R243" s="26" t="str">
        <f t="shared" si="3"/>
        <v>تقديم طلب</v>
      </c>
      <c r="S243" s="32" t="s">
        <v>4215</v>
      </c>
    </row>
    <row r="244" spans="1:19" s="23" customFormat="1" ht="90" x14ac:dyDescent="0.3">
      <c r="A244" s="24" t="s">
        <v>1456</v>
      </c>
      <c r="B244" s="25" t="s">
        <v>21</v>
      </c>
      <c r="C244" s="24" t="s">
        <v>59</v>
      </c>
      <c r="D244" s="24" t="s">
        <v>1100</v>
      </c>
      <c r="E244" s="24" t="s">
        <v>1101</v>
      </c>
      <c r="F244" s="24" t="s">
        <v>1102</v>
      </c>
      <c r="G244" s="24" t="s">
        <v>1230</v>
      </c>
      <c r="H244" s="24" t="s">
        <v>1231</v>
      </c>
      <c r="I244" s="24">
        <v>602</v>
      </c>
      <c r="J244" s="24">
        <v>101</v>
      </c>
      <c r="K244" s="24" t="s">
        <v>28</v>
      </c>
      <c r="L244" s="24" t="s">
        <v>1418</v>
      </c>
      <c r="M244" s="24" t="s">
        <v>1457</v>
      </c>
      <c r="N244" s="26" t="s">
        <v>30</v>
      </c>
      <c r="O244" s="26" t="s">
        <v>30</v>
      </c>
      <c r="P244" s="26" t="str">
        <f>IF(NOT("https://maps.app.goo.gl/Pdg7Tbzp3q1vqj3y8" = ""), HYPERLINK("https://maps.app.goo.gl/Pdg7Tbzp3q1vqj3y8", "موقع"), "")</f>
        <v>موقع</v>
      </c>
      <c r="Q244" s="24">
        <v>61000</v>
      </c>
      <c r="R244" s="26" t="str">
        <f t="shared" si="3"/>
        <v>تقديم طلب</v>
      </c>
      <c r="S244" s="32" t="s">
        <v>4216</v>
      </c>
    </row>
    <row r="245" spans="1:19" s="23" customFormat="1" ht="90" x14ac:dyDescent="0.3">
      <c r="A245" s="24" t="s">
        <v>1458</v>
      </c>
      <c r="B245" s="25" t="s">
        <v>21</v>
      </c>
      <c r="C245" s="24" t="s">
        <v>59</v>
      </c>
      <c r="D245" s="24" t="s">
        <v>1100</v>
      </c>
      <c r="E245" s="24" t="s">
        <v>1162</v>
      </c>
      <c r="F245" s="24" t="s">
        <v>1277</v>
      </c>
      <c r="G245" s="24" t="s">
        <v>1326</v>
      </c>
      <c r="H245" s="24" t="s">
        <v>1279</v>
      </c>
      <c r="I245" s="24">
        <v>2860</v>
      </c>
      <c r="J245" s="24">
        <v>102</v>
      </c>
      <c r="K245" s="24" t="s">
        <v>28</v>
      </c>
      <c r="L245" s="24" t="s">
        <v>1433</v>
      </c>
      <c r="M245" s="24" t="s">
        <v>1459</v>
      </c>
      <c r="N245" s="26" t="s">
        <v>30</v>
      </c>
      <c r="O245" s="26" t="s">
        <v>30</v>
      </c>
      <c r="P245" s="26" t="str">
        <f>IF(NOT("https://maps.app.goo.gl/avm15mhnaw4qyuLg6" = ""), HYPERLINK("https://maps.app.goo.gl/avm15mhnaw4qyuLg6", "موقع"), "")</f>
        <v>موقع</v>
      </c>
      <c r="Q245" s="24">
        <v>61000</v>
      </c>
      <c r="R245" s="26" t="str">
        <f t="shared" si="3"/>
        <v>تقديم طلب</v>
      </c>
      <c r="S245" s="32" t="s">
        <v>4217</v>
      </c>
    </row>
    <row r="246" spans="1:19" s="23" customFormat="1" ht="90" x14ac:dyDescent="0.3">
      <c r="A246" s="24" t="s">
        <v>1452</v>
      </c>
      <c r="B246" s="25" t="s">
        <v>21</v>
      </c>
      <c r="C246" s="24" t="s">
        <v>59</v>
      </c>
      <c r="D246" s="24" t="s">
        <v>1100</v>
      </c>
      <c r="E246" s="24" t="s">
        <v>1162</v>
      </c>
      <c r="F246" s="24" t="s">
        <v>1277</v>
      </c>
      <c r="G246" s="24" t="s">
        <v>1453</v>
      </c>
      <c r="H246" s="24" t="s">
        <v>1279</v>
      </c>
      <c r="I246" s="24">
        <v>649</v>
      </c>
      <c r="J246" s="24">
        <v>121</v>
      </c>
      <c r="K246" s="24" t="s">
        <v>73</v>
      </c>
      <c r="L246" s="24" t="s">
        <v>1454</v>
      </c>
      <c r="M246" s="24" t="s">
        <v>1455</v>
      </c>
      <c r="N246" s="26" t="s">
        <v>30</v>
      </c>
      <c r="O246" s="26" t="s">
        <v>30</v>
      </c>
      <c r="P246" s="26" t="s">
        <v>30</v>
      </c>
      <c r="Q246" s="24">
        <v>60000</v>
      </c>
      <c r="R246" s="26" t="str">
        <f t="shared" si="3"/>
        <v>تقديم طلب</v>
      </c>
      <c r="S246" s="32" t="s">
        <v>4218</v>
      </c>
    </row>
    <row r="247" spans="1:19" s="23" customFormat="1" ht="90" x14ac:dyDescent="0.3">
      <c r="A247" s="24" t="s">
        <v>1450</v>
      </c>
      <c r="B247" s="25" t="s">
        <v>21</v>
      </c>
      <c r="C247" s="24" t="s">
        <v>59</v>
      </c>
      <c r="D247" s="24" t="s">
        <v>1100</v>
      </c>
      <c r="E247" s="24" t="s">
        <v>1263</v>
      </c>
      <c r="F247" s="24" t="s">
        <v>1309</v>
      </c>
      <c r="G247" s="24" t="s">
        <v>1310</v>
      </c>
      <c r="H247" s="24" t="s">
        <v>1311</v>
      </c>
      <c r="I247" s="24">
        <v>63</v>
      </c>
      <c r="J247" s="24">
        <v>-111</v>
      </c>
      <c r="K247" s="24" t="s">
        <v>33</v>
      </c>
      <c r="L247" s="24" t="s">
        <v>175</v>
      </c>
      <c r="M247" s="24" t="s">
        <v>1451</v>
      </c>
      <c r="N247" s="26" t="s">
        <v>30</v>
      </c>
      <c r="O247" s="26" t="s">
        <v>30</v>
      </c>
      <c r="P247" s="26" t="str">
        <f>IF(NOT("https://maps.app.goo.gl/boHCvhcK4sWuF6V77" = ""), HYPERLINK("https://maps.app.goo.gl/boHCvhcK4sWuF6V77", "موقع"), "")</f>
        <v>موقع</v>
      </c>
      <c r="Q247" s="24">
        <v>59000</v>
      </c>
      <c r="R247" s="26" t="str">
        <f t="shared" si="3"/>
        <v>تقديم طلب</v>
      </c>
      <c r="S247" s="32" t="s">
        <v>4219</v>
      </c>
    </row>
    <row r="248" spans="1:19" s="23" customFormat="1" ht="90" x14ac:dyDescent="0.3">
      <c r="A248" s="24" t="s">
        <v>1447</v>
      </c>
      <c r="B248" s="25" t="s">
        <v>21</v>
      </c>
      <c r="C248" s="24" t="s">
        <v>59</v>
      </c>
      <c r="D248" s="24" t="s">
        <v>1100</v>
      </c>
      <c r="E248" s="24" t="s">
        <v>1101</v>
      </c>
      <c r="F248" s="24" t="s">
        <v>1102</v>
      </c>
      <c r="G248" s="24" t="s">
        <v>1230</v>
      </c>
      <c r="H248" s="24" t="s">
        <v>1231</v>
      </c>
      <c r="I248" s="24">
        <v>602</v>
      </c>
      <c r="J248" s="24">
        <v>-121</v>
      </c>
      <c r="K248" s="24" t="s">
        <v>551</v>
      </c>
      <c r="L248" s="24" t="s">
        <v>1418</v>
      </c>
      <c r="M248" s="24" t="s">
        <v>1419</v>
      </c>
      <c r="N248" s="26" t="s">
        <v>30</v>
      </c>
      <c r="O248" s="26" t="s">
        <v>30</v>
      </c>
      <c r="P248" s="26" t="str">
        <f>IF(NOT("https://maps.app.goo.gl/Pdg7Tbzp3q1vqj3y8" = ""), HYPERLINK("https://maps.app.goo.gl/Pdg7Tbzp3q1vqj3y8", "موقع"), "")</f>
        <v>موقع</v>
      </c>
      <c r="Q248" s="24">
        <v>57000</v>
      </c>
      <c r="R248" s="26" t="str">
        <f t="shared" si="3"/>
        <v>تقديم طلب</v>
      </c>
      <c r="S248" s="32" t="s">
        <v>4220</v>
      </c>
    </row>
    <row r="249" spans="1:19" s="23" customFormat="1" ht="90" x14ac:dyDescent="0.3">
      <c r="A249" s="24" t="s">
        <v>1448</v>
      </c>
      <c r="B249" s="25" t="s">
        <v>21</v>
      </c>
      <c r="C249" s="24" t="s">
        <v>59</v>
      </c>
      <c r="D249" s="24" t="s">
        <v>1100</v>
      </c>
      <c r="E249" s="24" t="s">
        <v>1162</v>
      </c>
      <c r="F249" s="24" t="s">
        <v>1183</v>
      </c>
      <c r="G249" s="24" t="s">
        <v>1285</v>
      </c>
      <c r="H249" s="24" t="s">
        <v>1279</v>
      </c>
      <c r="I249" s="24">
        <v>835</v>
      </c>
      <c r="J249" s="24">
        <v>121</v>
      </c>
      <c r="K249" s="24" t="s">
        <v>73</v>
      </c>
      <c r="L249" s="24" t="s">
        <v>1428</v>
      </c>
      <c r="M249" s="24" t="s">
        <v>1449</v>
      </c>
      <c r="N249" s="26" t="s">
        <v>30</v>
      </c>
      <c r="O249" s="26" t="s">
        <v>30</v>
      </c>
      <c r="P249" s="26" t="str">
        <f>IF(NOT("https://maps.app.goo.gl/kMtMj5dxsNbSzd9PA" = ""), HYPERLINK("https://maps.app.goo.gl/kMtMj5dxsNbSzd9PA", "موقع"), "")</f>
        <v>موقع</v>
      </c>
      <c r="Q249" s="24">
        <v>57000</v>
      </c>
      <c r="R249" s="26" t="str">
        <f t="shared" si="3"/>
        <v>تقديم طلب</v>
      </c>
      <c r="S249" s="32" t="s">
        <v>4221</v>
      </c>
    </row>
    <row r="250" spans="1:19" s="23" customFormat="1" ht="90" x14ac:dyDescent="0.3">
      <c r="A250" s="24" t="s">
        <v>1445</v>
      </c>
      <c r="B250" s="25" t="s">
        <v>21</v>
      </c>
      <c r="C250" s="24" t="s">
        <v>59</v>
      </c>
      <c r="D250" s="24" t="s">
        <v>1100</v>
      </c>
      <c r="E250" s="24" t="s">
        <v>1162</v>
      </c>
      <c r="F250" s="24" t="s">
        <v>1277</v>
      </c>
      <c r="G250" s="24" t="s">
        <v>1326</v>
      </c>
      <c r="H250" s="24" t="s">
        <v>1279</v>
      </c>
      <c r="I250" s="24">
        <v>1777</v>
      </c>
      <c r="J250" s="24">
        <v>133</v>
      </c>
      <c r="K250" s="24" t="s">
        <v>55</v>
      </c>
      <c r="L250" s="24" t="s">
        <v>160</v>
      </c>
      <c r="M250" s="24" t="s">
        <v>1446</v>
      </c>
      <c r="N250" s="26" t="s">
        <v>30</v>
      </c>
      <c r="O250" s="26" t="s">
        <v>30</v>
      </c>
      <c r="P250" s="26" t="s">
        <v>30</v>
      </c>
      <c r="Q250" s="24">
        <v>55000</v>
      </c>
      <c r="R250" s="26" t="str">
        <f t="shared" si="3"/>
        <v>تقديم طلب</v>
      </c>
      <c r="S250" s="32" t="s">
        <v>4222</v>
      </c>
    </row>
    <row r="251" spans="1:19" s="23" customFormat="1" ht="90" x14ac:dyDescent="0.3">
      <c r="A251" s="24" t="s">
        <v>1439</v>
      </c>
      <c r="B251" s="25" t="s">
        <v>21</v>
      </c>
      <c r="C251" s="24" t="s">
        <v>59</v>
      </c>
      <c r="D251" s="24" t="s">
        <v>1100</v>
      </c>
      <c r="E251" s="24" t="s">
        <v>1263</v>
      </c>
      <c r="F251" s="24" t="s">
        <v>1309</v>
      </c>
      <c r="G251" s="24" t="s">
        <v>1310</v>
      </c>
      <c r="H251" s="24" t="s">
        <v>1311</v>
      </c>
      <c r="I251" s="24">
        <v>63</v>
      </c>
      <c r="J251" s="24">
        <v>101</v>
      </c>
      <c r="K251" s="24" t="s">
        <v>28</v>
      </c>
      <c r="L251" s="24" t="s">
        <v>175</v>
      </c>
      <c r="M251" s="24" t="s">
        <v>1440</v>
      </c>
      <c r="N251" s="26" t="s">
        <v>30</v>
      </c>
      <c r="O251" s="26" t="s">
        <v>30</v>
      </c>
      <c r="P251" s="26" t="str">
        <f>IF(NOT("https://maps.app.goo.gl/boHCvhcK4sWuF6V77" = ""), HYPERLINK("https://maps.app.goo.gl/boHCvhcK4sWuF6V77", "موقع"), "")</f>
        <v>موقع</v>
      </c>
      <c r="Q251" s="24">
        <v>54000</v>
      </c>
      <c r="R251" s="26" t="str">
        <f t="shared" si="3"/>
        <v>تقديم طلب</v>
      </c>
      <c r="S251" s="32" t="s">
        <v>4223</v>
      </c>
    </row>
    <row r="252" spans="1:19" s="23" customFormat="1" ht="90" x14ac:dyDescent="0.3">
      <c r="A252" s="24" t="s">
        <v>1441</v>
      </c>
      <c r="B252" s="25" t="s">
        <v>21</v>
      </c>
      <c r="C252" s="24" t="s">
        <v>59</v>
      </c>
      <c r="D252" s="24" t="s">
        <v>1100</v>
      </c>
      <c r="E252" s="24" t="s">
        <v>1263</v>
      </c>
      <c r="F252" s="24" t="s">
        <v>1309</v>
      </c>
      <c r="G252" s="24" t="s">
        <v>1310</v>
      </c>
      <c r="H252" s="24" t="s">
        <v>1311</v>
      </c>
      <c r="I252" s="24">
        <v>63</v>
      </c>
      <c r="J252" s="24">
        <v>111</v>
      </c>
      <c r="K252" s="24" t="s">
        <v>43</v>
      </c>
      <c r="L252" s="24" t="s">
        <v>175</v>
      </c>
      <c r="M252" s="24" t="s">
        <v>1442</v>
      </c>
      <c r="N252" s="26" t="s">
        <v>30</v>
      </c>
      <c r="O252" s="26" t="s">
        <v>30</v>
      </c>
      <c r="P252" s="26" t="str">
        <f>IF(NOT("https://maps.app.goo.gl/boHCvhcK4sWuF6V77" = ""), HYPERLINK("https://maps.app.goo.gl/boHCvhcK4sWuF6V77", "موقع"), "")</f>
        <v>موقع</v>
      </c>
      <c r="Q252" s="24">
        <v>54000</v>
      </c>
      <c r="R252" s="26" t="str">
        <f t="shared" si="3"/>
        <v>تقديم طلب</v>
      </c>
      <c r="S252" s="32" t="s">
        <v>4224</v>
      </c>
    </row>
    <row r="253" spans="1:19" s="23" customFormat="1" ht="90" x14ac:dyDescent="0.3">
      <c r="A253" s="24" t="s">
        <v>1443</v>
      </c>
      <c r="B253" s="25" t="s">
        <v>21</v>
      </c>
      <c r="C253" s="24" t="s">
        <v>59</v>
      </c>
      <c r="D253" s="24" t="s">
        <v>1100</v>
      </c>
      <c r="E253" s="24" t="s">
        <v>1162</v>
      </c>
      <c r="F253" s="24" t="s">
        <v>1277</v>
      </c>
      <c r="G253" s="24" t="s">
        <v>1326</v>
      </c>
      <c r="H253" s="24" t="s">
        <v>1279</v>
      </c>
      <c r="I253" s="24">
        <v>1028</v>
      </c>
      <c r="J253" s="24">
        <v>113</v>
      </c>
      <c r="K253" s="24" t="s">
        <v>43</v>
      </c>
      <c r="L253" s="24" t="s">
        <v>239</v>
      </c>
      <c r="M253" s="24" t="s">
        <v>1444</v>
      </c>
      <c r="N253" s="26" t="s">
        <v>30</v>
      </c>
      <c r="O253" s="26" t="str">
        <f>IF(NOT("https://truemarkets3d.net/3d-virtual-tour/housingbank-realestate/phase3/aq-re-100115/index.html" = ""), HYPERLINK("https://truemarkets3d.net/3d-virtual-tour/housingbank-realestate/phase3/aq-re-100115/index.html", "جولة"), "")</f>
        <v>جولة</v>
      </c>
      <c r="P253" s="26" t="str">
        <f>IF(NOT("https://maps.app.goo.gl/RJdWCLyv6pwXDKhq8" = ""), HYPERLINK("https://maps.app.goo.gl/RJdWCLyv6pwXDKhq8", "موقع"), "")</f>
        <v>موقع</v>
      </c>
      <c r="Q253" s="24">
        <v>54000</v>
      </c>
      <c r="R253" s="26" t="str">
        <f t="shared" si="3"/>
        <v>تقديم طلب</v>
      </c>
      <c r="S253" s="32" t="s">
        <v>4225</v>
      </c>
    </row>
    <row r="254" spans="1:19" s="23" customFormat="1" ht="90" x14ac:dyDescent="0.3">
      <c r="A254" s="24" t="s">
        <v>1432</v>
      </c>
      <c r="B254" s="25" t="s">
        <v>21</v>
      </c>
      <c r="C254" s="24" t="s">
        <v>59</v>
      </c>
      <c r="D254" s="24" t="s">
        <v>1100</v>
      </c>
      <c r="E254" s="24" t="s">
        <v>1162</v>
      </c>
      <c r="F254" s="24" t="s">
        <v>1277</v>
      </c>
      <c r="G254" s="24" t="s">
        <v>1326</v>
      </c>
      <c r="H254" s="24" t="s">
        <v>1279</v>
      </c>
      <c r="I254" s="24">
        <v>2860</v>
      </c>
      <c r="J254" s="24">
        <v>112</v>
      </c>
      <c r="K254" s="24" t="s">
        <v>43</v>
      </c>
      <c r="L254" s="24" t="s">
        <v>1433</v>
      </c>
      <c r="M254" s="24" t="s">
        <v>1434</v>
      </c>
      <c r="N254" s="26" t="s">
        <v>30</v>
      </c>
      <c r="O254" s="26" t="s">
        <v>30</v>
      </c>
      <c r="P254" s="26" t="str">
        <f>IF(NOT("https://maps.app.goo.gl/avm15mhnaw4qyuLg6" = ""), HYPERLINK("https://maps.app.goo.gl/avm15mhnaw4qyuLg6", "موقع"), "")</f>
        <v>موقع</v>
      </c>
      <c r="Q254" s="24">
        <v>53000</v>
      </c>
      <c r="R254" s="26" t="str">
        <f t="shared" si="3"/>
        <v>تقديم طلب</v>
      </c>
      <c r="S254" s="32" t="s">
        <v>4226</v>
      </c>
    </row>
    <row r="255" spans="1:19" s="23" customFormat="1" ht="90" x14ac:dyDescent="0.3">
      <c r="A255" s="24" t="s">
        <v>1435</v>
      </c>
      <c r="B255" s="25" t="s">
        <v>21</v>
      </c>
      <c r="C255" s="24" t="s">
        <v>59</v>
      </c>
      <c r="D255" s="24" t="s">
        <v>1100</v>
      </c>
      <c r="E255" s="24" t="s">
        <v>1143</v>
      </c>
      <c r="F255" s="24" t="s">
        <v>1153</v>
      </c>
      <c r="G255" s="24" t="s">
        <v>1411</v>
      </c>
      <c r="H255" s="24" t="s">
        <v>1209</v>
      </c>
      <c r="I255" s="24">
        <v>2080</v>
      </c>
      <c r="J255" s="24">
        <v>132</v>
      </c>
      <c r="K255" s="24" t="s">
        <v>55</v>
      </c>
      <c r="L255" s="24" t="s">
        <v>160</v>
      </c>
      <c r="M255" s="24" t="s">
        <v>1436</v>
      </c>
      <c r="N255" s="26" t="s">
        <v>30</v>
      </c>
      <c r="O255" s="26" t="str">
        <f>IF(NOT("https://truemarkets3d.net/3d-virtual-tour/housingbank-realestate/phase3/aq-re-100123/index.html" = ""), HYPERLINK("https://truemarkets3d.net/3d-virtual-tour/housingbank-realestate/phase3/aq-re-100123/index.html", "جولة"), "")</f>
        <v>جولة</v>
      </c>
      <c r="P255" s="26" t="str">
        <f>IF(NOT("https://maps.app.goo.gl/85dFTm6w5eh5cFpeA" = ""), HYPERLINK("https://maps.app.goo.gl/85dFTm6w5eh5cFpeA", "موقع"), "")</f>
        <v>موقع</v>
      </c>
      <c r="Q255" s="24">
        <v>53000</v>
      </c>
      <c r="R255" s="26" t="str">
        <f t="shared" si="3"/>
        <v>تقديم طلب</v>
      </c>
      <c r="S255" s="32" t="s">
        <v>4227</v>
      </c>
    </row>
    <row r="256" spans="1:19" s="23" customFormat="1" ht="90" x14ac:dyDescent="0.3">
      <c r="A256" s="24" t="s">
        <v>1437</v>
      </c>
      <c r="B256" s="25" t="s">
        <v>21</v>
      </c>
      <c r="C256" s="24" t="s">
        <v>59</v>
      </c>
      <c r="D256" s="24" t="s">
        <v>1100</v>
      </c>
      <c r="E256" s="24" t="s">
        <v>1162</v>
      </c>
      <c r="F256" s="24" t="s">
        <v>1163</v>
      </c>
      <c r="G256" s="24" t="s">
        <v>1378</v>
      </c>
      <c r="H256" s="24" t="s">
        <v>1165</v>
      </c>
      <c r="I256" s="24">
        <v>2566</v>
      </c>
      <c r="J256" s="24">
        <v>101</v>
      </c>
      <c r="K256" s="24" t="s">
        <v>28</v>
      </c>
      <c r="L256" s="24" t="s">
        <v>277</v>
      </c>
      <c r="M256" s="24" t="s">
        <v>1438</v>
      </c>
      <c r="N256" s="26" t="s">
        <v>30</v>
      </c>
      <c r="O256" s="26" t="s">
        <v>30</v>
      </c>
      <c r="P256" s="26" t="s">
        <v>30</v>
      </c>
      <c r="Q256" s="24">
        <v>53000</v>
      </c>
      <c r="R256" s="26" t="str">
        <f t="shared" si="3"/>
        <v>تقديم طلب</v>
      </c>
      <c r="S256" s="32" t="s">
        <v>4228</v>
      </c>
    </row>
    <row r="257" spans="1:19" s="23" customFormat="1" ht="90" x14ac:dyDescent="0.3">
      <c r="A257" s="24" t="s">
        <v>1417</v>
      </c>
      <c r="B257" s="25" t="s">
        <v>21</v>
      </c>
      <c r="C257" s="24" t="s">
        <v>59</v>
      </c>
      <c r="D257" s="24" t="s">
        <v>1100</v>
      </c>
      <c r="E257" s="24" t="s">
        <v>1101</v>
      </c>
      <c r="F257" s="24" t="s">
        <v>1102</v>
      </c>
      <c r="G257" s="24" t="s">
        <v>1230</v>
      </c>
      <c r="H257" s="24" t="s">
        <v>1231</v>
      </c>
      <c r="I257" s="24">
        <v>602</v>
      </c>
      <c r="J257" s="24">
        <v>-111</v>
      </c>
      <c r="K257" s="24" t="s">
        <v>33</v>
      </c>
      <c r="L257" s="24" t="s">
        <v>1418</v>
      </c>
      <c r="M257" s="24" t="s">
        <v>1419</v>
      </c>
      <c r="N257" s="26" t="s">
        <v>30</v>
      </c>
      <c r="O257" s="26" t="s">
        <v>30</v>
      </c>
      <c r="P257" s="26" t="str">
        <f>IF(NOT("https://maps.app.goo.gl/Pdg7Tbzp3q1vqj3y8" = ""), HYPERLINK("https://maps.app.goo.gl/Pdg7Tbzp3q1vqj3y8", "موقع"), "")</f>
        <v>موقع</v>
      </c>
      <c r="Q257" s="24">
        <v>52000</v>
      </c>
      <c r="R257" s="26" t="str">
        <f t="shared" si="3"/>
        <v>تقديم طلب</v>
      </c>
      <c r="S257" s="32" t="s">
        <v>4229</v>
      </c>
    </row>
    <row r="258" spans="1:19" s="23" customFormat="1" ht="105" x14ac:dyDescent="0.3">
      <c r="A258" s="24" t="s">
        <v>1420</v>
      </c>
      <c r="B258" s="25" t="s">
        <v>21</v>
      </c>
      <c r="C258" s="24" t="s">
        <v>59</v>
      </c>
      <c r="D258" s="24" t="s">
        <v>1100</v>
      </c>
      <c r="E258" s="24" t="s">
        <v>1263</v>
      </c>
      <c r="F258" s="24" t="s">
        <v>1335</v>
      </c>
      <c r="G258" s="24" t="s">
        <v>1336</v>
      </c>
      <c r="H258" s="24" t="s">
        <v>1421</v>
      </c>
      <c r="I258" s="24">
        <v>279</v>
      </c>
      <c r="J258" s="24">
        <v>-114</v>
      </c>
      <c r="K258" s="24" t="s">
        <v>73</v>
      </c>
      <c r="L258" s="24" t="s">
        <v>845</v>
      </c>
      <c r="M258" s="24" t="s">
        <v>1422</v>
      </c>
      <c r="N258" s="26" t="s">
        <v>30</v>
      </c>
      <c r="O258" s="26" t="s">
        <v>30</v>
      </c>
      <c r="P258" s="26" t="s">
        <v>30</v>
      </c>
      <c r="Q258" s="24">
        <v>52000</v>
      </c>
      <c r="R258" s="26" t="str">
        <f t="shared" si="3"/>
        <v>تقديم طلب</v>
      </c>
      <c r="S258" s="32" t="s">
        <v>4230</v>
      </c>
    </row>
    <row r="259" spans="1:19" s="23" customFormat="1" ht="90" x14ac:dyDescent="0.3">
      <c r="A259" s="24" t="s">
        <v>1423</v>
      </c>
      <c r="B259" s="25" t="s">
        <v>21</v>
      </c>
      <c r="C259" s="24" t="s">
        <v>59</v>
      </c>
      <c r="D259" s="24" t="s">
        <v>1100</v>
      </c>
      <c r="E259" s="24" t="s">
        <v>1424</v>
      </c>
      <c r="F259" s="24" t="s">
        <v>1425</v>
      </c>
      <c r="G259" s="24" t="s">
        <v>1426</v>
      </c>
      <c r="H259" s="24" t="s">
        <v>1427</v>
      </c>
      <c r="I259" s="24">
        <v>2025</v>
      </c>
      <c r="J259" s="24">
        <v>132</v>
      </c>
      <c r="K259" s="24" t="s">
        <v>55</v>
      </c>
      <c r="L259" s="24" t="s">
        <v>1428</v>
      </c>
      <c r="M259" s="24" t="s">
        <v>1429</v>
      </c>
      <c r="N259" s="26" t="s">
        <v>30</v>
      </c>
      <c r="O259" s="26" t="str">
        <f>IF(NOT("https://truemarkets3d.net/3d-virtual-tour/housingbank-realestate/phase3/aq-re-100039/index.html" = ""), HYPERLINK("https://truemarkets3d.net/3d-virtual-tour/housingbank-realestate/phase3/aq-re-100039/index.html", "جولة"), "")</f>
        <v>جولة</v>
      </c>
      <c r="P259" s="26" t="str">
        <f>IF(NOT("https://maps.app.goo.gl/jENfBBd2m4vrtLZq9" = ""), HYPERLINK("https://maps.app.goo.gl/jENfBBd2m4vrtLZq9", "موقع"), "")</f>
        <v>موقع</v>
      </c>
      <c r="Q259" s="24">
        <v>52000</v>
      </c>
      <c r="R259" s="26" t="str">
        <f t="shared" si="3"/>
        <v>تقديم طلب</v>
      </c>
      <c r="S259" s="32" t="s">
        <v>4231</v>
      </c>
    </row>
    <row r="260" spans="1:19" s="23" customFormat="1" ht="90" x14ac:dyDescent="0.3">
      <c r="A260" s="24" t="s">
        <v>1430</v>
      </c>
      <c r="B260" s="25" t="s">
        <v>21</v>
      </c>
      <c r="C260" s="24" t="s">
        <v>59</v>
      </c>
      <c r="D260" s="24" t="s">
        <v>1100</v>
      </c>
      <c r="E260" s="24" t="s">
        <v>1162</v>
      </c>
      <c r="F260" s="24" t="s">
        <v>1277</v>
      </c>
      <c r="G260" s="24" t="s">
        <v>1322</v>
      </c>
      <c r="H260" s="24" t="s">
        <v>1279</v>
      </c>
      <c r="I260" s="24">
        <v>3022</v>
      </c>
      <c r="J260" s="24">
        <v>124</v>
      </c>
      <c r="K260" s="24" t="s">
        <v>73</v>
      </c>
      <c r="L260" s="24" t="s">
        <v>160</v>
      </c>
      <c r="M260" s="24" t="s">
        <v>1431</v>
      </c>
      <c r="N260" s="26" t="s">
        <v>30</v>
      </c>
      <c r="O260" s="26" t="s">
        <v>30</v>
      </c>
      <c r="P260" s="26" t="str">
        <f>IF(NOT("https://maps.app.goo.gl/78XWhaoaJBM26LxDA" = ""), HYPERLINK("https://maps.app.goo.gl/78XWhaoaJBM26LxDA", "موقع"), "")</f>
        <v>موقع</v>
      </c>
      <c r="Q260" s="24">
        <v>52000</v>
      </c>
      <c r="R260" s="26" t="str">
        <f t="shared" si="3"/>
        <v>تقديم طلب</v>
      </c>
      <c r="S260" s="32" t="s">
        <v>4232</v>
      </c>
    </row>
    <row r="261" spans="1:19" s="23" customFormat="1" ht="90" x14ac:dyDescent="0.3">
      <c r="A261" s="24" t="s">
        <v>1405</v>
      </c>
      <c r="B261" s="25" t="s">
        <v>21</v>
      </c>
      <c r="C261" s="24" t="s">
        <v>59</v>
      </c>
      <c r="D261" s="24" t="s">
        <v>1100</v>
      </c>
      <c r="E261" s="24" t="s">
        <v>1162</v>
      </c>
      <c r="F261" s="24" t="s">
        <v>1277</v>
      </c>
      <c r="G261" s="24" t="s">
        <v>1322</v>
      </c>
      <c r="H261" s="24" t="s">
        <v>1279</v>
      </c>
      <c r="I261" s="24">
        <v>1179</v>
      </c>
      <c r="J261" s="24">
        <v>-111</v>
      </c>
      <c r="K261" s="24" t="s">
        <v>33</v>
      </c>
      <c r="L261" s="24" t="s">
        <v>1406</v>
      </c>
      <c r="M261" s="24" t="s">
        <v>1407</v>
      </c>
      <c r="N261" s="26" t="s">
        <v>30</v>
      </c>
      <c r="O261" s="26" t="str">
        <f>IF(NOT("https://truemarkets3d.net/3d-virtual-tour/housingbank-realestate/phase3/aq-re-100549/index.html" = ""), HYPERLINK("https://truemarkets3d.net/3d-virtual-tour/housingbank-realestate/phase3/aq-re-100549/index.html", "جولة"), "")</f>
        <v>جولة</v>
      </c>
      <c r="P261" s="26" t="str">
        <f>IF(NOT("https://maps.app.goo.gl/GUpiRafg5JQda89X7" = ""), HYPERLINK("https://maps.app.goo.gl/GUpiRafg5JQda89X7", "موقع"), "")</f>
        <v>موقع</v>
      </c>
      <c r="Q261" s="24">
        <v>51000</v>
      </c>
      <c r="R261" s="26" t="str">
        <f t="shared" ref="R261:R324" si="4">HYPERLINK(S261,"تقديم طلب")</f>
        <v>تقديم طلب</v>
      </c>
      <c r="S261" s="32" t="s">
        <v>4233</v>
      </c>
    </row>
    <row r="262" spans="1:19" s="23" customFormat="1" ht="90" x14ac:dyDescent="0.3">
      <c r="A262" s="24" t="s">
        <v>1408</v>
      </c>
      <c r="B262" s="25" t="s">
        <v>21</v>
      </c>
      <c r="C262" s="24" t="s">
        <v>59</v>
      </c>
      <c r="D262" s="24" t="s">
        <v>1100</v>
      </c>
      <c r="E262" s="24" t="s">
        <v>1263</v>
      </c>
      <c r="F262" s="24" t="s">
        <v>1309</v>
      </c>
      <c r="G262" s="24" t="s">
        <v>1310</v>
      </c>
      <c r="H262" s="24" t="s">
        <v>1311</v>
      </c>
      <c r="I262" s="24">
        <v>63</v>
      </c>
      <c r="J262" s="24">
        <v>121</v>
      </c>
      <c r="K262" s="24" t="s">
        <v>73</v>
      </c>
      <c r="L262" s="24" t="s">
        <v>175</v>
      </c>
      <c r="M262" s="24" t="s">
        <v>1409</v>
      </c>
      <c r="N262" s="26" t="s">
        <v>30</v>
      </c>
      <c r="O262" s="26" t="s">
        <v>30</v>
      </c>
      <c r="P262" s="26" t="str">
        <f>IF(NOT("https://maps.app.goo.gl/boHCvhcK4sWuF6V77" = ""), HYPERLINK("https://maps.app.goo.gl/boHCvhcK4sWuF6V77", "موقع"), "")</f>
        <v>موقع</v>
      </c>
      <c r="Q262" s="24">
        <v>51000</v>
      </c>
      <c r="R262" s="26" t="str">
        <f t="shared" si="4"/>
        <v>تقديم طلب</v>
      </c>
      <c r="S262" s="32" t="s">
        <v>4234</v>
      </c>
    </row>
    <row r="263" spans="1:19" s="23" customFormat="1" ht="90" x14ac:dyDescent="0.3">
      <c r="A263" s="24" t="s">
        <v>1410</v>
      </c>
      <c r="B263" s="25" t="s">
        <v>21</v>
      </c>
      <c r="C263" s="24" t="s">
        <v>59</v>
      </c>
      <c r="D263" s="24" t="s">
        <v>1100</v>
      </c>
      <c r="E263" s="24" t="s">
        <v>1143</v>
      </c>
      <c r="F263" s="24" t="s">
        <v>1153</v>
      </c>
      <c r="G263" s="24" t="s">
        <v>1411</v>
      </c>
      <c r="H263" s="24" t="s">
        <v>1209</v>
      </c>
      <c r="I263" s="24">
        <v>2080</v>
      </c>
      <c r="J263" s="24">
        <v>131</v>
      </c>
      <c r="K263" s="24" t="s">
        <v>55</v>
      </c>
      <c r="L263" s="24" t="s">
        <v>160</v>
      </c>
      <c r="M263" s="24" t="s">
        <v>1412</v>
      </c>
      <c r="N263" s="26" t="s">
        <v>30</v>
      </c>
      <c r="O263" s="26" t="str">
        <f>IF(NOT("https://truemarkets3d.net/3d-virtual-tour/housingbank-realestate/phase3/aq-re-100122/index.html" = ""), HYPERLINK("https://truemarkets3d.net/3d-virtual-tour/housingbank-realestate/phase3/aq-re-100122/index.html", "جولة"), "")</f>
        <v>جولة</v>
      </c>
      <c r="P263" s="26" t="str">
        <f>IF(NOT("https://maps.app.goo.gl/oeW83VDAaD4bodJfA" = ""), HYPERLINK("https://maps.app.goo.gl/oeW83VDAaD4bodJfA", "موقع"), "")</f>
        <v>موقع</v>
      </c>
      <c r="Q263" s="24">
        <v>51000</v>
      </c>
      <c r="R263" s="26" t="str">
        <f t="shared" si="4"/>
        <v>تقديم طلب</v>
      </c>
      <c r="S263" s="32" t="s">
        <v>4235</v>
      </c>
    </row>
    <row r="264" spans="1:19" s="23" customFormat="1" ht="90" x14ac:dyDescent="0.3">
      <c r="A264" s="24" t="s">
        <v>1413</v>
      </c>
      <c r="B264" s="25" t="s">
        <v>21</v>
      </c>
      <c r="C264" s="24" t="s">
        <v>59</v>
      </c>
      <c r="D264" s="24" t="s">
        <v>1100</v>
      </c>
      <c r="E264" s="24" t="s">
        <v>1101</v>
      </c>
      <c r="F264" s="24" t="s">
        <v>1102</v>
      </c>
      <c r="G264" s="24" t="s">
        <v>1414</v>
      </c>
      <c r="H264" s="24" t="s">
        <v>1293</v>
      </c>
      <c r="I264" s="24">
        <v>259</v>
      </c>
      <c r="J264" s="24">
        <v>-101</v>
      </c>
      <c r="K264" s="24" t="s">
        <v>43</v>
      </c>
      <c r="L264" s="24" t="s">
        <v>1415</v>
      </c>
      <c r="M264" s="24" t="s">
        <v>1416</v>
      </c>
      <c r="N264" s="26" t="s">
        <v>30</v>
      </c>
      <c r="O264" s="26" t="s">
        <v>30</v>
      </c>
      <c r="P264" s="26" t="str">
        <f>IF(NOT("https://maps.app.goo.gl/AAY9c6rXRLpYCaAU9" = ""), HYPERLINK("https://maps.app.goo.gl/AAY9c6rXRLpYCaAU9", "موقع"), "")</f>
        <v>موقع</v>
      </c>
      <c r="Q264" s="24">
        <v>51000</v>
      </c>
      <c r="R264" s="26" t="str">
        <f t="shared" si="4"/>
        <v>تقديم طلب</v>
      </c>
      <c r="S264" s="32" t="s">
        <v>4236</v>
      </c>
    </row>
    <row r="265" spans="1:19" s="23" customFormat="1" ht="90" x14ac:dyDescent="0.3">
      <c r="A265" s="24" t="s">
        <v>1396</v>
      </c>
      <c r="B265" s="25" t="s">
        <v>21</v>
      </c>
      <c r="C265" s="24" t="s">
        <v>59</v>
      </c>
      <c r="D265" s="24" t="s">
        <v>1100</v>
      </c>
      <c r="E265" s="24" t="s">
        <v>1162</v>
      </c>
      <c r="F265" s="24" t="s">
        <v>1163</v>
      </c>
      <c r="G265" s="24" t="s">
        <v>1378</v>
      </c>
      <c r="H265" s="24" t="s">
        <v>1165</v>
      </c>
      <c r="I265" s="24">
        <v>2566</v>
      </c>
      <c r="J265" s="24">
        <v>111</v>
      </c>
      <c r="K265" s="24" t="s">
        <v>43</v>
      </c>
      <c r="L265" s="24" t="s">
        <v>277</v>
      </c>
      <c r="M265" s="24" t="s">
        <v>1397</v>
      </c>
      <c r="N265" s="26" t="s">
        <v>30</v>
      </c>
      <c r="O265" s="26" t="s">
        <v>30</v>
      </c>
      <c r="P265" s="26" t="s">
        <v>30</v>
      </c>
      <c r="Q265" s="24">
        <v>50000</v>
      </c>
      <c r="R265" s="26" t="str">
        <f t="shared" si="4"/>
        <v>تقديم طلب</v>
      </c>
      <c r="S265" s="32" t="s">
        <v>4237</v>
      </c>
    </row>
    <row r="266" spans="1:19" s="23" customFormat="1" ht="90" x14ac:dyDescent="0.3">
      <c r="A266" s="24" t="s">
        <v>1398</v>
      </c>
      <c r="B266" s="25" t="s">
        <v>21</v>
      </c>
      <c r="C266" s="24" t="s">
        <v>59</v>
      </c>
      <c r="D266" s="24" t="s">
        <v>1100</v>
      </c>
      <c r="E266" s="24" t="s">
        <v>1263</v>
      </c>
      <c r="F266" s="24" t="s">
        <v>1399</v>
      </c>
      <c r="G266" s="24" t="s">
        <v>1400</v>
      </c>
      <c r="H266" s="24" t="s">
        <v>1331</v>
      </c>
      <c r="I266" s="24">
        <v>299</v>
      </c>
      <c r="J266" s="24">
        <v>-101</v>
      </c>
      <c r="K266" s="24" t="s">
        <v>28</v>
      </c>
      <c r="L266" s="24" t="s">
        <v>1401</v>
      </c>
      <c r="M266" s="24" t="s">
        <v>1402</v>
      </c>
      <c r="N266" s="26" t="s">
        <v>30</v>
      </c>
      <c r="O266" s="26" t="s">
        <v>30</v>
      </c>
      <c r="P266" s="26" t="str">
        <f>IF(NOT("https://maps.app.goo.gl/JBx5mcD1pSNku9H87" = ""), HYPERLINK("https://maps.app.goo.gl/JBx5mcD1pSNku9H87", "موقع"), "")</f>
        <v>موقع</v>
      </c>
      <c r="Q266" s="24">
        <v>50000</v>
      </c>
      <c r="R266" s="26" t="str">
        <f t="shared" si="4"/>
        <v>تقديم طلب</v>
      </c>
      <c r="S266" s="32" t="s">
        <v>4238</v>
      </c>
    </row>
    <row r="267" spans="1:19" s="23" customFormat="1" ht="90" x14ac:dyDescent="0.3">
      <c r="A267" s="24" t="s">
        <v>1403</v>
      </c>
      <c r="B267" s="25" t="s">
        <v>21</v>
      </c>
      <c r="C267" s="24" t="s">
        <v>59</v>
      </c>
      <c r="D267" s="24" t="s">
        <v>1100</v>
      </c>
      <c r="E267" s="24" t="s">
        <v>1162</v>
      </c>
      <c r="F267" s="24" t="s">
        <v>1277</v>
      </c>
      <c r="G267" s="24" t="s">
        <v>1326</v>
      </c>
      <c r="H267" s="24" t="s">
        <v>1279</v>
      </c>
      <c r="I267" s="24">
        <v>2518</v>
      </c>
      <c r="J267" s="24">
        <v>131</v>
      </c>
      <c r="K267" s="24" t="s">
        <v>55</v>
      </c>
      <c r="L267" s="24" t="s">
        <v>160</v>
      </c>
      <c r="M267" s="24" t="s">
        <v>1404</v>
      </c>
      <c r="N267" s="26" t="s">
        <v>30</v>
      </c>
      <c r="O267" s="26" t="s">
        <v>30</v>
      </c>
      <c r="P267" s="26" t="s">
        <v>30</v>
      </c>
      <c r="Q267" s="24">
        <v>50000</v>
      </c>
      <c r="R267" s="26" t="str">
        <f t="shared" si="4"/>
        <v>تقديم طلب</v>
      </c>
      <c r="S267" s="32" t="s">
        <v>4239</v>
      </c>
    </row>
    <row r="268" spans="1:19" s="23" customFormat="1" ht="90" x14ac:dyDescent="0.3">
      <c r="A268" s="24" t="s">
        <v>1386</v>
      </c>
      <c r="B268" s="25" t="s">
        <v>21</v>
      </c>
      <c r="C268" s="24" t="s">
        <v>59</v>
      </c>
      <c r="D268" s="24" t="s">
        <v>1100</v>
      </c>
      <c r="E268" s="24" t="s">
        <v>1101</v>
      </c>
      <c r="F268" s="24" t="s">
        <v>1102</v>
      </c>
      <c r="G268" s="24" t="s">
        <v>1292</v>
      </c>
      <c r="H268" s="24" t="s">
        <v>1293</v>
      </c>
      <c r="I268" s="24">
        <v>52</v>
      </c>
      <c r="J268" s="24">
        <v>132</v>
      </c>
      <c r="K268" s="24" t="s">
        <v>55</v>
      </c>
      <c r="L268" s="24" t="s">
        <v>160</v>
      </c>
      <c r="M268" s="24" t="s">
        <v>1387</v>
      </c>
      <c r="N268" s="26" t="s">
        <v>30</v>
      </c>
      <c r="O268" s="26" t="s">
        <v>30</v>
      </c>
      <c r="P268" s="26" t="str">
        <f>IF(NOT("https://maps.app.goo.gl/uXXBmmsY9qrxGAK68" = ""), HYPERLINK("https://maps.app.goo.gl/uXXBmmsY9qrxGAK68", "موقع"), "")</f>
        <v>موقع</v>
      </c>
      <c r="Q268" s="24">
        <v>49000</v>
      </c>
      <c r="R268" s="26" t="str">
        <f t="shared" si="4"/>
        <v>تقديم طلب</v>
      </c>
      <c r="S268" s="32" t="s">
        <v>4240</v>
      </c>
    </row>
    <row r="269" spans="1:19" s="23" customFormat="1" ht="90" x14ac:dyDescent="0.3">
      <c r="A269" s="24" t="s">
        <v>1388</v>
      </c>
      <c r="B269" s="25" t="s">
        <v>21</v>
      </c>
      <c r="C269" s="24" t="s">
        <v>59</v>
      </c>
      <c r="D269" s="24" t="s">
        <v>1100</v>
      </c>
      <c r="E269" s="24" t="s">
        <v>1162</v>
      </c>
      <c r="F269" s="24" t="s">
        <v>1163</v>
      </c>
      <c r="G269" s="24" t="s">
        <v>1378</v>
      </c>
      <c r="H269" s="24" t="s">
        <v>1165</v>
      </c>
      <c r="I269" s="24">
        <v>2566</v>
      </c>
      <c r="J269" s="24">
        <v>121</v>
      </c>
      <c r="K269" s="24" t="s">
        <v>73</v>
      </c>
      <c r="L269" s="24" t="s">
        <v>277</v>
      </c>
      <c r="M269" s="24" t="s">
        <v>1389</v>
      </c>
      <c r="N269" s="26" t="s">
        <v>30</v>
      </c>
      <c r="O269" s="26" t="s">
        <v>30</v>
      </c>
      <c r="P269" s="26" t="s">
        <v>30</v>
      </c>
      <c r="Q269" s="24">
        <v>49000</v>
      </c>
      <c r="R269" s="26" t="str">
        <f t="shared" si="4"/>
        <v>تقديم طلب</v>
      </c>
      <c r="S269" s="32" t="s">
        <v>4241</v>
      </c>
    </row>
    <row r="270" spans="1:19" s="23" customFormat="1" ht="105" x14ac:dyDescent="0.3">
      <c r="A270" s="24" t="s">
        <v>1390</v>
      </c>
      <c r="B270" s="25" t="s">
        <v>21</v>
      </c>
      <c r="C270" s="24" t="s">
        <v>59</v>
      </c>
      <c r="D270" s="24" t="s">
        <v>1100</v>
      </c>
      <c r="E270" s="24" t="s">
        <v>1263</v>
      </c>
      <c r="F270" s="24" t="s">
        <v>1381</v>
      </c>
      <c r="G270" s="24" t="s">
        <v>1391</v>
      </c>
      <c r="H270" s="24" t="s">
        <v>154</v>
      </c>
      <c r="I270" s="24">
        <v>2141</v>
      </c>
      <c r="J270" s="24">
        <v>-101</v>
      </c>
      <c r="K270" s="24" t="s">
        <v>28</v>
      </c>
      <c r="L270" s="24" t="s">
        <v>1392</v>
      </c>
      <c r="M270" s="24" t="s">
        <v>1393</v>
      </c>
      <c r="N270" s="26" t="s">
        <v>30</v>
      </c>
      <c r="O270" s="26" t="s">
        <v>30</v>
      </c>
      <c r="P270" s="26" t="s">
        <v>30</v>
      </c>
      <c r="Q270" s="24">
        <v>49000</v>
      </c>
      <c r="R270" s="26" t="str">
        <f t="shared" si="4"/>
        <v>تقديم طلب</v>
      </c>
      <c r="S270" s="32" t="s">
        <v>4242</v>
      </c>
    </row>
    <row r="271" spans="1:19" s="23" customFormat="1" ht="90" x14ac:dyDescent="0.3">
      <c r="A271" s="24" t="s">
        <v>1394</v>
      </c>
      <c r="B271" s="25" t="s">
        <v>21</v>
      </c>
      <c r="C271" s="24" t="s">
        <v>59</v>
      </c>
      <c r="D271" s="24" t="s">
        <v>1100</v>
      </c>
      <c r="E271" s="24" t="s">
        <v>1263</v>
      </c>
      <c r="F271" s="24" t="s">
        <v>1309</v>
      </c>
      <c r="G271" s="24" t="s">
        <v>1310</v>
      </c>
      <c r="H271" s="24" t="s">
        <v>1311</v>
      </c>
      <c r="I271" s="24">
        <v>63</v>
      </c>
      <c r="J271" s="24">
        <v>131</v>
      </c>
      <c r="K271" s="24" t="s">
        <v>55</v>
      </c>
      <c r="L271" s="24" t="s">
        <v>175</v>
      </c>
      <c r="M271" s="24" t="s">
        <v>1395</v>
      </c>
      <c r="N271" s="26" t="s">
        <v>30</v>
      </c>
      <c r="O271" s="26" t="s">
        <v>30</v>
      </c>
      <c r="P271" s="26" t="str">
        <f>IF(NOT("https://maps.app.goo.gl/boHCvhcK4sWuF6V77" = ""), HYPERLINK("https://maps.app.goo.gl/boHCvhcK4sWuF6V77", "موقع"), "")</f>
        <v>موقع</v>
      </c>
      <c r="Q271" s="24">
        <v>49000</v>
      </c>
      <c r="R271" s="26" t="str">
        <f t="shared" si="4"/>
        <v>تقديم طلب</v>
      </c>
      <c r="S271" s="32" t="s">
        <v>4243</v>
      </c>
    </row>
    <row r="272" spans="1:19" s="23" customFormat="1" ht="90" x14ac:dyDescent="0.3">
      <c r="A272" s="24" t="s">
        <v>1375</v>
      </c>
      <c r="B272" s="25" t="s">
        <v>21</v>
      </c>
      <c r="C272" s="24" t="s">
        <v>59</v>
      </c>
      <c r="D272" s="24" t="s">
        <v>1100</v>
      </c>
      <c r="E272" s="24" t="s">
        <v>1162</v>
      </c>
      <c r="F272" s="24" t="s">
        <v>1277</v>
      </c>
      <c r="G272" s="24" t="s">
        <v>1322</v>
      </c>
      <c r="H272" s="24" t="s">
        <v>1279</v>
      </c>
      <c r="I272" s="24">
        <v>2779</v>
      </c>
      <c r="J272" s="24">
        <v>122</v>
      </c>
      <c r="K272" s="24" t="s">
        <v>73</v>
      </c>
      <c r="L272" s="24" t="s">
        <v>208</v>
      </c>
      <c r="M272" s="24" t="s">
        <v>1376</v>
      </c>
      <c r="N272" s="26" t="s">
        <v>30</v>
      </c>
      <c r="O272" s="26" t="s">
        <v>30</v>
      </c>
      <c r="P272" s="26" t="str">
        <f>IF(NOT("https://maps.app.goo.gl/7EN8Zya1qa4zmhRH9" = ""), HYPERLINK("https://maps.app.goo.gl/7EN8Zya1qa4zmhRH9", "موقع"), "")</f>
        <v>موقع</v>
      </c>
      <c r="Q272" s="24">
        <v>48000</v>
      </c>
      <c r="R272" s="26" t="str">
        <f t="shared" si="4"/>
        <v>تقديم طلب</v>
      </c>
      <c r="S272" s="32" t="s">
        <v>4244</v>
      </c>
    </row>
    <row r="273" spans="1:19" s="23" customFormat="1" ht="90" x14ac:dyDescent="0.3">
      <c r="A273" s="24" t="s">
        <v>1377</v>
      </c>
      <c r="B273" s="25" t="s">
        <v>21</v>
      </c>
      <c r="C273" s="24" t="s">
        <v>59</v>
      </c>
      <c r="D273" s="24" t="s">
        <v>1100</v>
      </c>
      <c r="E273" s="24" t="s">
        <v>1162</v>
      </c>
      <c r="F273" s="24" t="s">
        <v>1163</v>
      </c>
      <c r="G273" s="24" t="s">
        <v>1378</v>
      </c>
      <c r="H273" s="24" t="s">
        <v>1165</v>
      </c>
      <c r="I273" s="24">
        <v>2566</v>
      </c>
      <c r="J273" s="24">
        <v>131</v>
      </c>
      <c r="K273" s="24" t="s">
        <v>55</v>
      </c>
      <c r="L273" s="24" t="s">
        <v>277</v>
      </c>
      <c r="M273" s="24" t="s">
        <v>1379</v>
      </c>
      <c r="N273" s="26" t="s">
        <v>30</v>
      </c>
      <c r="O273" s="26" t="s">
        <v>30</v>
      </c>
      <c r="P273" s="26" t="s">
        <v>30</v>
      </c>
      <c r="Q273" s="24">
        <v>48000</v>
      </c>
      <c r="R273" s="26" t="str">
        <f t="shared" si="4"/>
        <v>تقديم طلب</v>
      </c>
      <c r="S273" s="32" t="s">
        <v>4245</v>
      </c>
    </row>
    <row r="274" spans="1:19" s="23" customFormat="1" ht="90" x14ac:dyDescent="0.3">
      <c r="A274" s="24" t="s">
        <v>1380</v>
      </c>
      <c r="B274" s="25" t="s">
        <v>21</v>
      </c>
      <c r="C274" s="24" t="s">
        <v>59</v>
      </c>
      <c r="D274" s="24" t="s">
        <v>1100</v>
      </c>
      <c r="E274" s="24" t="s">
        <v>1263</v>
      </c>
      <c r="F274" s="24" t="s">
        <v>1381</v>
      </c>
      <c r="G274" s="24" t="s">
        <v>1382</v>
      </c>
      <c r="H274" s="24" t="s">
        <v>1383</v>
      </c>
      <c r="I274" s="24">
        <v>801</v>
      </c>
      <c r="J274" s="24">
        <v>122</v>
      </c>
      <c r="K274" s="24" t="s">
        <v>73</v>
      </c>
      <c r="L274" s="24" t="s">
        <v>1384</v>
      </c>
      <c r="M274" s="24" t="s">
        <v>1385</v>
      </c>
      <c r="N274" s="26" t="s">
        <v>30</v>
      </c>
      <c r="O274" s="26" t="s">
        <v>30</v>
      </c>
      <c r="P274" s="26" t="str">
        <f>IF(NOT("https://maps.app.goo.gl/JTxDjVi5xfoQLkK18" = ""), HYPERLINK("https://maps.app.goo.gl/JTxDjVi5xfoQLkK18", "موقع"), "")</f>
        <v>موقع</v>
      </c>
      <c r="Q274" s="24">
        <v>48000</v>
      </c>
      <c r="R274" s="26" t="str">
        <f t="shared" si="4"/>
        <v>تقديم طلب</v>
      </c>
      <c r="S274" s="32" t="s">
        <v>4246</v>
      </c>
    </row>
    <row r="275" spans="1:19" s="23" customFormat="1" ht="90" x14ac:dyDescent="0.3">
      <c r="A275" s="24" t="s">
        <v>1365</v>
      </c>
      <c r="B275" s="25" t="s">
        <v>21</v>
      </c>
      <c r="C275" s="24" t="s">
        <v>59</v>
      </c>
      <c r="D275" s="24" t="s">
        <v>1100</v>
      </c>
      <c r="E275" s="24" t="s">
        <v>1263</v>
      </c>
      <c r="F275" s="24" t="s">
        <v>1329</v>
      </c>
      <c r="G275" s="24" t="s">
        <v>1363</v>
      </c>
      <c r="H275" s="24" t="s">
        <v>1331</v>
      </c>
      <c r="I275" s="24">
        <v>267</v>
      </c>
      <c r="J275" s="24">
        <v>134</v>
      </c>
      <c r="K275" s="24" t="s">
        <v>55</v>
      </c>
      <c r="L275" s="24" t="s">
        <v>294</v>
      </c>
      <c r="M275" s="24" t="s">
        <v>1366</v>
      </c>
      <c r="N275" s="26" t="s">
        <v>30</v>
      </c>
      <c r="O275" s="26" t="str">
        <f>IF(NOT("https://truemarkets3d.net/3d-virtual-tour/housingbank-realestate/phase3/aq-re-100169/index.html" = ""), HYPERLINK("https://truemarkets3d.net/3d-virtual-tour/housingbank-realestate/phase3/aq-re-100169/index.html", "جولة"), "")</f>
        <v>جولة</v>
      </c>
      <c r="P275" s="26" t="str">
        <f>IF(NOT("https://maps.app.goo.gl/peiScTgvKRJSFmbp7" = ""), HYPERLINK("https://maps.app.goo.gl/peiScTgvKRJSFmbp7", "موقع"), "")</f>
        <v>موقع</v>
      </c>
      <c r="Q275" s="24">
        <v>47000</v>
      </c>
      <c r="R275" s="26" t="str">
        <f t="shared" si="4"/>
        <v>تقديم طلب</v>
      </c>
      <c r="S275" s="32" t="s">
        <v>4247</v>
      </c>
    </row>
    <row r="276" spans="1:19" s="23" customFormat="1" ht="90" x14ac:dyDescent="0.3">
      <c r="A276" s="24" t="s">
        <v>1367</v>
      </c>
      <c r="B276" s="25" t="s">
        <v>21</v>
      </c>
      <c r="C276" s="24" t="s">
        <v>59</v>
      </c>
      <c r="D276" s="24" t="s">
        <v>1100</v>
      </c>
      <c r="E276" s="24" t="s">
        <v>1162</v>
      </c>
      <c r="F276" s="24" t="s">
        <v>1183</v>
      </c>
      <c r="G276" s="24" t="s">
        <v>1184</v>
      </c>
      <c r="H276" s="24" t="s">
        <v>1289</v>
      </c>
      <c r="I276" s="24">
        <v>6762</v>
      </c>
      <c r="J276" s="24">
        <v>-101</v>
      </c>
      <c r="K276" s="24" t="s">
        <v>28</v>
      </c>
      <c r="L276" s="24" t="s">
        <v>1323</v>
      </c>
      <c r="M276" s="24" t="s">
        <v>1368</v>
      </c>
      <c r="N276" s="26" t="s">
        <v>30</v>
      </c>
      <c r="O276" s="26" t="s">
        <v>30</v>
      </c>
      <c r="P276" s="26" t="str">
        <f>IF(NOT("https://maps.app.goo.gl/1rqMktQnzQcfXMkH8" = ""), HYPERLINK("https://maps.app.goo.gl/1rqMktQnzQcfXMkH8", "موقع"), "")</f>
        <v>موقع</v>
      </c>
      <c r="Q276" s="24">
        <v>47000</v>
      </c>
      <c r="R276" s="26" t="str">
        <f t="shared" si="4"/>
        <v>تقديم طلب</v>
      </c>
      <c r="S276" s="32" t="s">
        <v>4248</v>
      </c>
    </row>
    <row r="277" spans="1:19" s="23" customFormat="1" ht="90" x14ac:dyDescent="0.3">
      <c r="A277" s="24" t="s">
        <v>1369</v>
      </c>
      <c r="B277" s="25" t="s">
        <v>21</v>
      </c>
      <c r="C277" s="24" t="s">
        <v>59</v>
      </c>
      <c r="D277" s="24" t="s">
        <v>1100</v>
      </c>
      <c r="E277" s="24" t="s">
        <v>1162</v>
      </c>
      <c r="F277" s="24" t="s">
        <v>1277</v>
      </c>
      <c r="G277" s="24" t="s">
        <v>1322</v>
      </c>
      <c r="H277" s="24" t="s">
        <v>1279</v>
      </c>
      <c r="I277" s="24">
        <v>224</v>
      </c>
      <c r="J277" s="24">
        <v>131</v>
      </c>
      <c r="K277" s="24" t="s">
        <v>55</v>
      </c>
      <c r="L277" s="24" t="s">
        <v>1186</v>
      </c>
      <c r="M277" s="24" t="s">
        <v>1370</v>
      </c>
      <c r="N277" s="26" t="s">
        <v>30</v>
      </c>
      <c r="O277" s="26" t="s">
        <v>30</v>
      </c>
      <c r="P277" s="26" t="str">
        <f>IF(NOT("https://maps.app.goo.gl/qES9kPF7162SJyoE8" = ""), HYPERLINK("https://maps.app.goo.gl/qES9kPF7162SJyoE8", "موقع"), "")</f>
        <v>موقع</v>
      </c>
      <c r="Q277" s="24">
        <v>47000</v>
      </c>
      <c r="R277" s="26" t="str">
        <f t="shared" si="4"/>
        <v>تقديم طلب</v>
      </c>
      <c r="S277" s="32" t="s">
        <v>4249</v>
      </c>
    </row>
    <row r="278" spans="1:19" s="23" customFormat="1" ht="90" x14ac:dyDescent="0.3">
      <c r="A278" s="24" t="s">
        <v>1371</v>
      </c>
      <c r="B278" s="25" t="s">
        <v>21</v>
      </c>
      <c r="C278" s="24" t="s">
        <v>59</v>
      </c>
      <c r="D278" s="24" t="s">
        <v>1100</v>
      </c>
      <c r="E278" s="24" t="s">
        <v>1162</v>
      </c>
      <c r="F278" s="24" t="s">
        <v>1277</v>
      </c>
      <c r="G278" s="24" t="s">
        <v>1278</v>
      </c>
      <c r="H278" s="24" t="s">
        <v>1279</v>
      </c>
      <c r="I278" s="24">
        <v>1175</v>
      </c>
      <c r="J278" s="24">
        <v>122</v>
      </c>
      <c r="K278" s="24" t="s">
        <v>73</v>
      </c>
      <c r="L278" s="24" t="s">
        <v>160</v>
      </c>
      <c r="M278" s="24" t="s">
        <v>1372</v>
      </c>
      <c r="N278" s="26" t="s">
        <v>30</v>
      </c>
      <c r="O278" s="26" t="s">
        <v>30</v>
      </c>
      <c r="P278" s="26" t="s">
        <v>30</v>
      </c>
      <c r="Q278" s="24">
        <v>47000</v>
      </c>
      <c r="R278" s="26" t="str">
        <f t="shared" si="4"/>
        <v>تقديم طلب</v>
      </c>
      <c r="S278" s="32" t="s">
        <v>4250</v>
      </c>
    </row>
    <row r="279" spans="1:19" s="23" customFormat="1" ht="90" x14ac:dyDescent="0.3">
      <c r="A279" s="24" t="s">
        <v>1373</v>
      </c>
      <c r="B279" s="25" t="s">
        <v>21</v>
      </c>
      <c r="C279" s="24" t="s">
        <v>59</v>
      </c>
      <c r="D279" s="24" t="s">
        <v>1100</v>
      </c>
      <c r="E279" s="24" t="s">
        <v>1162</v>
      </c>
      <c r="F279" s="24" t="s">
        <v>1277</v>
      </c>
      <c r="G279" s="24" t="s">
        <v>1322</v>
      </c>
      <c r="H279" s="24" t="s">
        <v>1279</v>
      </c>
      <c r="I279" s="24">
        <v>2779</v>
      </c>
      <c r="J279" s="24">
        <v>132</v>
      </c>
      <c r="K279" s="24" t="s">
        <v>55</v>
      </c>
      <c r="L279" s="24" t="s">
        <v>208</v>
      </c>
      <c r="M279" s="24" t="s">
        <v>1374</v>
      </c>
      <c r="N279" s="26" t="s">
        <v>30</v>
      </c>
      <c r="O279" s="26" t="s">
        <v>30</v>
      </c>
      <c r="P279" s="26" t="str">
        <f>IF(NOT("https://maps.app.goo.gl/7EN8Zya1qa4zmhRH9" = ""), HYPERLINK("https://maps.app.goo.gl/7EN8Zya1qa4zmhRH9", "موقع"), "")</f>
        <v>موقع</v>
      </c>
      <c r="Q279" s="24">
        <v>47000</v>
      </c>
      <c r="R279" s="26" t="str">
        <f t="shared" si="4"/>
        <v>تقديم طلب</v>
      </c>
      <c r="S279" s="32" t="s">
        <v>4251</v>
      </c>
    </row>
    <row r="280" spans="1:19" s="23" customFormat="1" ht="90" x14ac:dyDescent="0.3">
      <c r="A280" s="24" t="s">
        <v>1360</v>
      </c>
      <c r="B280" s="25" t="s">
        <v>21</v>
      </c>
      <c r="C280" s="24" t="s">
        <v>59</v>
      </c>
      <c r="D280" s="24" t="s">
        <v>1100</v>
      </c>
      <c r="E280" s="24" t="s">
        <v>1101</v>
      </c>
      <c r="F280" s="24" t="s">
        <v>1102</v>
      </c>
      <c r="G280" s="24" t="s">
        <v>1292</v>
      </c>
      <c r="H280" s="24" t="s">
        <v>1293</v>
      </c>
      <c r="I280" s="24">
        <v>1570</v>
      </c>
      <c r="J280" s="24">
        <v>-103</v>
      </c>
      <c r="K280" s="24" t="s">
        <v>33</v>
      </c>
      <c r="L280" s="24" t="s">
        <v>1215</v>
      </c>
      <c r="M280" s="24" t="s">
        <v>1361</v>
      </c>
      <c r="N280" s="26" t="s">
        <v>30</v>
      </c>
      <c r="O280" s="26" t="str">
        <f>IF(NOT("https://truemarkets3d.net/3d-virtual-tour/housingbank-realestate/phase3/aq-re-100014/index.html" = ""), HYPERLINK("https://truemarkets3d.net/3d-virtual-tour/housingbank-realestate/phase3/aq-re-100014/index.html", "جولة"), "")</f>
        <v>جولة</v>
      </c>
      <c r="P280" s="26" t="str">
        <f>IF(NOT("https://maps.app.goo.gl/8TyRfcepVexCGndS9" = ""), HYPERLINK("https://maps.app.goo.gl/8TyRfcepVexCGndS9", "موقع"), "")</f>
        <v>موقع</v>
      </c>
      <c r="Q280" s="24">
        <v>46000</v>
      </c>
      <c r="R280" s="26" t="str">
        <f t="shared" si="4"/>
        <v>تقديم طلب</v>
      </c>
      <c r="S280" s="32" t="s">
        <v>4252</v>
      </c>
    </row>
    <row r="281" spans="1:19" s="23" customFormat="1" ht="105" x14ac:dyDescent="0.3">
      <c r="A281" s="24" t="s">
        <v>1362</v>
      </c>
      <c r="B281" s="25" t="s">
        <v>21</v>
      </c>
      <c r="C281" s="24" t="s">
        <v>59</v>
      </c>
      <c r="D281" s="24" t="s">
        <v>1100</v>
      </c>
      <c r="E281" s="24" t="s">
        <v>1263</v>
      </c>
      <c r="F281" s="24" t="s">
        <v>1329</v>
      </c>
      <c r="G281" s="24" t="s">
        <v>1363</v>
      </c>
      <c r="H281" s="24" t="s">
        <v>225</v>
      </c>
      <c r="I281" s="24">
        <v>267</v>
      </c>
      <c r="J281" s="24">
        <v>132</v>
      </c>
      <c r="K281" s="24" t="s">
        <v>55</v>
      </c>
      <c r="L281" s="24" t="s">
        <v>1044</v>
      </c>
      <c r="M281" s="24" t="s">
        <v>1364</v>
      </c>
      <c r="N281" s="26" t="str">
        <f>IF(NOT("https://www.youtube.com/embed/w5LDp-sbq7U" = ""), HYPERLINK("https://www.youtube.com/embed/w5LDp-sbq7U", "فيديو"), "")</f>
        <v>فيديو</v>
      </c>
      <c r="O281" s="26" t="str">
        <f>IF(NOT("https://truemarkets3d.net/3d-virtual-tour/housingbank-realestate/phase3/aq-re-100711/index.html" = ""), HYPERLINK("https://truemarkets3d.net/3d-virtual-tour/housingbank-realestate/phase3/aq-re-100711/index.html", "جولة"), "")</f>
        <v>جولة</v>
      </c>
      <c r="P281" s="26" t="str">
        <f>IF(NOT("https://maps.app.goo.gl/jYFKLPUhbgENKsww7" = ""), HYPERLINK("https://maps.app.goo.gl/jYFKLPUhbgENKsww7", "موقع"), "")</f>
        <v>موقع</v>
      </c>
      <c r="Q281" s="24">
        <v>46000</v>
      </c>
      <c r="R281" s="26" t="str">
        <f t="shared" si="4"/>
        <v>تقديم طلب</v>
      </c>
      <c r="S281" s="32" t="s">
        <v>4253</v>
      </c>
    </row>
    <row r="282" spans="1:19" s="23" customFormat="1" ht="105" x14ac:dyDescent="0.3">
      <c r="A282" s="24" t="s">
        <v>1355</v>
      </c>
      <c r="B282" s="25" t="s">
        <v>21</v>
      </c>
      <c r="C282" s="24" t="s">
        <v>59</v>
      </c>
      <c r="D282" s="24" t="s">
        <v>1100</v>
      </c>
      <c r="E282" s="24" t="s">
        <v>1143</v>
      </c>
      <c r="F282" s="24" t="s">
        <v>1153</v>
      </c>
      <c r="G282" s="24" t="s">
        <v>1356</v>
      </c>
      <c r="H282" s="24" t="s">
        <v>1357</v>
      </c>
      <c r="I282" s="24">
        <v>1613</v>
      </c>
      <c r="J282" s="24">
        <v>122</v>
      </c>
      <c r="K282" s="24" t="s">
        <v>73</v>
      </c>
      <c r="L282" s="24" t="s">
        <v>1358</v>
      </c>
      <c r="M282" s="24" t="s">
        <v>1359</v>
      </c>
      <c r="N282" s="26" t="s">
        <v>30</v>
      </c>
      <c r="O282" s="26" t="str">
        <f>IF(NOT("https://truemarkets3d.net/3d-virtual-tour/housingbank-realestate/phase3/aq-re-100550/index.html" = ""), HYPERLINK("https://truemarkets3d.net/3d-virtual-tour/housingbank-realestate/phase3/aq-re-100550/index.html", "جولة"), "")</f>
        <v>جولة</v>
      </c>
      <c r="P282" s="26" t="str">
        <f>IF(NOT("https://maps.app.goo.gl/C8CZpFrFQDzqTPbB9" = ""), HYPERLINK("https://maps.app.goo.gl/C8CZpFrFQDzqTPbB9", "موقع"), "")</f>
        <v>موقع</v>
      </c>
      <c r="Q282" s="24">
        <v>45000</v>
      </c>
      <c r="R282" s="26" t="str">
        <f t="shared" si="4"/>
        <v>تقديم طلب</v>
      </c>
      <c r="S282" s="32" t="s">
        <v>4254</v>
      </c>
    </row>
    <row r="283" spans="1:19" s="23" customFormat="1" ht="105" x14ac:dyDescent="0.3">
      <c r="A283" s="24" t="s">
        <v>1348</v>
      </c>
      <c r="B283" s="25" t="s">
        <v>21</v>
      </c>
      <c r="C283" s="24" t="s">
        <v>59</v>
      </c>
      <c r="D283" s="24" t="s">
        <v>1100</v>
      </c>
      <c r="E283" s="24" t="s">
        <v>1162</v>
      </c>
      <c r="F283" s="24" t="s">
        <v>1183</v>
      </c>
      <c r="G283" s="24" t="s">
        <v>1184</v>
      </c>
      <c r="H283" s="24" t="s">
        <v>1185</v>
      </c>
      <c r="I283" s="24">
        <v>5170</v>
      </c>
      <c r="J283" s="24">
        <v>131</v>
      </c>
      <c r="K283" s="24" t="s">
        <v>55</v>
      </c>
      <c r="L283" s="24" t="s">
        <v>1349</v>
      </c>
      <c r="M283" s="24" t="s">
        <v>1350</v>
      </c>
      <c r="N283" s="26" t="s">
        <v>30</v>
      </c>
      <c r="O283" s="26" t="str">
        <f>IF(NOT("https://truemarkets3d.net/3d-virtual-tour/housingbank-realestate/phase3/aq-re-100541/index.html" = ""), HYPERLINK("https://truemarkets3d.net/3d-virtual-tour/housingbank-realestate/phase3/aq-re-100541/index.html", "جولة"), "")</f>
        <v>جولة</v>
      </c>
      <c r="P283" s="26" t="str">
        <f>IF(NOT("https://maps.app.goo.gl/UiNy15a7zMz9Q7ya8" = ""), HYPERLINK("https://maps.app.goo.gl/UiNy15a7zMz9Q7ya8", "موقع"), "")</f>
        <v>موقع</v>
      </c>
      <c r="Q283" s="24">
        <v>44000</v>
      </c>
      <c r="R283" s="26" t="str">
        <f t="shared" si="4"/>
        <v>تقديم طلب</v>
      </c>
      <c r="S283" s="32" t="s">
        <v>4255</v>
      </c>
    </row>
    <row r="284" spans="1:19" s="23" customFormat="1" ht="90" x14ac:dyDescent="0.3">
      <c r="A284" s="24" t="s">
        <v>1351</v>
      </c>
      <c r="B284" s="25" t="s">
        <v>21</v>
      </c>
      <c r="C284" s="24" t="s">
        <v>59</v>
      </c>
      <c r="D284" s="24" t="s">
        <v>1100</v>
      </c>
      <c r="E284" s="24" t="s">
        <v>1263</v>
      </c>
      <c r="F284" s="24" t="s">
        <v>1309</v>
      </c>
      <c r="G284" s="24" t="s">
        <v>1310</v>
      </c>
      <c r="H284" s="24" t="s">
        <v>1311</v>
      </c>
      <c r="I284" s="24">
        <v>63</v>
      </c>
      <c r="J284" s="24">
        <v>-112</v>
      </c>
      <c r="K284" s="24" t="s">
        <v>33</v>
      </c>
      <c r="L284" s="24" t="s">
        <v>797</v>
      </c>
      <c r="M284" s="24" t="s">
        <v>1352</v>
      </c>
      <c r="N284" s="26" t="s">
        <v>30</v>
      </c>
      <c r="O284" s="26" t="s">
        <v>30</v>
      </c>
      <c r="P284" s="26" t="str">
        <f>IF(NOT("https://maps.app.goo.gl/boHCvhcK4sWuF6V77" = ""), HYPERLINK("https://maps.app.goo.gl/boHCvhcK4sWuF6V77", "موقع"), "")</f>
        <v>موقع</v>
      </c>
      <c r="Q284" s="24">
        <v>44000</v>
      </c>
      <c r="R284" s="26" t="str">
        <f t="shared" si="4"/>
        <v>تقديم طلب</v>
      </c>
      <c r="S284" s="32" t="s">
        <v>4256</v>
      </c>
    </row>
    <row r="285" spans="1:19" s="23" customFormat="1" ht="90" x14ac:dyDescent="0.3">
      <c r="A285" s="24" t="s">
        <v>1353</v>
      </c>
      <c r="B285" s="25" t="s">
        <v>21</v>
      </c>
      <c r="C285" s="24" t="s">
        <v>59</v>
      </c>
      <c r="D285" s="24" t="s">
        <v>1100</v>
      </c>
      <c r="E285" s="24" t="s">
        <v>1263</v>
      </c>
      <c r="F285" s="24" t="s">
        <v>1309</v>
      </c>
      <c r="G285" s="24" t="s">
        <v>1310</v>
      </c>
      <c r="H285" s="24" t="s">
        <v>1311</v>
      </c>
      <c r="I285" s="24">
        <v>63</v>
      </c>
      <c r="J285" s="24">
        <v>112</v>
      </c>
      <c r="K285" s="24" t="s">
        <v>43</v>
      </c>
      <c r="L285" s="24" t="s">
        <v>1312</v>
      </c>
      <c r="M285" s="24" t="s">
        <v>1354</v>
      </c>
      <c r="N285" s="26" t="s">
        <v>30</v>
      </c>
      <c r="O285" s="26" t="s">
        <v>30</v>
      </c>
      <c r="P285" s="26" t="str">
        <f>IF(NOT("https://maps.app.goo.gl/boHCvhcK4sWuF6V77" = ""), HYPERLINK("https://maps.app.goo.gl/boHCvhcK4sWuF6V77", "موقع"), "")</f>
        <v>موقع</v>
      </c>
      <c r="Q285" s="24">
        <v>44000</v>
      </c>
      <c r="R285" s="26" t="str">
        <f t="shared" si="4"/>
        <v>تقديم طلب</v>
      </c>
      <c r="S285" s="32" t="s">
        <v>4257</v>
      </c>
    </row>
    <row r="286" spans="1:19" s="23" customFormat="1" ht="90" x14ac:dyDescent="0.3">
      <c r="A286" s="24" t="s">
        <v>1325</v>
      </c>
      <c r="B286" s="25" t="s">
        <v>21</v>
      </c>
      <c r="C286" s="24" t="s">
        <v>59</v>
      </c>
      <c r="D286" s="24" t="s">
        <v>1100</v>
      </c>
      <c r="E286" s="24" t="s">
        <v>1162</v>
      </c>
      <c r="F286" s="24" t="s">
        <v>1277</v>
      </c>
      <c r="G286" s="24" t="s">
        <v>1326</v>
      </c>
      <c r="H286" s="24" t="s">
        <v>1279</v>
      </c>
      <c r="I286" s="24">
        <v>997</v>
      </c>
      <c r="J286" s="24">
        <v>112</v>
      </c>
      <c r="K286" s="24" t="s">
        <v>43</v>
      </c>
      <c r="L286" s="24" t="s">
        <v>850</v>
      </c>
      <c r="M286" s="24" t="s">
        <v>1327</v>
      </c>
      <c r="N286" s="26" t="s">
        <v>30</v>
      </c>
      <c r="O286" s="26" t="s">
        <v>30</v>
      </c>
      <c r="P286" s="26" t="s">
        <v>30</v>
      </c>
      <c r="Q286" s="24">
        <v>43000</v>
      </c>
      <c r="R286" s="26" t="str">
        <f t="shared" si="4"/>
        <v>تقديم طلب</v>
      </c>
      <c r="S286" s="32" t="s">
        <v>4258</v>
      </c>
    </row>
    <row r="287" spans="1:19" s="23" customFormat="1" ht="90" x14ac:dyDescent="0.3">
      <c r="A287" s="24" t="s">
        <v>1328</v>
      </c>
      <c r="B287" s="25" t="s">
        <v>21</v>
      </c>
      <c r="C287" s="24" t="s">
        <v>59</v>
      </c>
      <c r="D287" s="24" t="s">
        <v>1100</v>
      </c>
      <c r="E287" s="24" t="s">
        <v>1263</v>
      </c>
      <c r="F287" s="24" t="s">
        <v>1329</v>
      </c>
      <c r="G287" s="24" t="s">
        <v>1330</v>
      </c>
      <c r="H287" s="24" t="s">
        <v>1331</v>
      </c>
      <c r="I287" s="24">
        <v>47</v>
      </c>
      <c r="J287" s="24">
        <v>121</v>
      </c>
      <c r="K287" s="24" t="s">
        <v>73</v>
      </c>
      <c r="L287" s="24" t="s">
        <v>1332</v>
      </c>
      <c r="M287" s="24" t="s">
        <v>1333</v>
      </c>
      <c r="N287" s="26" t="s">
        <v>30</v>
      </c>
      <c r="O287" s="26" t="str">
        <f>IF(NOT("https://truemarkets3d.net/3d-virtual-tour/housingbank-realestate/phase3/aq-re-100157/index.html" = ""), HYPERLINK("https://truemarkets3d.net/3d-virtual-tour/housingbank-realestate/phase3/aq-re-100157/index.html", "جولة"), "")</f>
        <v>جولة</v>
      </c>
      <c r="P287" s="26" t="str">
        <f>IF(NOT("https://maps.app.goo.gl/UWZgTtN1KouUbsRM9" = ""), HYPERLINK("https://maps.app.goo.gl/UWZgTtN1KouUbsRM9", "موقع"), "")</f>
        <v>موقع</v>
      </c>
      <c r="Q287" s="24">
        <v>43000</v>
      </c>
      <c r="R287" s="26" t="str">
        <f t="shared" si="4"/>
        <v>تقديم طلب</v>
      </c>
      <c r="S287" s="32" t="s">
        <v>4259</v>
      </c>
    </row>
    <row r="288" spans="1:19" s="23" customFormat="1" ht="90" x14ac:dyDescent="0.3">
      <c r="A288" s="24" t="s">
        <v>1334</v>
      </c>
      <c r="B288" s="25" t="s">
        <v>21</v>
      </c>
      <c r="C288" s="24" t="s">
        <v>59</v>
      </c>
      <c r="D288" s="24" t="s">
        <v>1100</v>
      </c>
      <c r="E288" s="24" t="s">
        <v>1263</v>
      </c>
      <c r="F288" s="24" t="s">
        <v>1335</v>
      </c>
      <c r="G288" s="24" t="s">
        <v>1336</v>
      </c>
      <c r="H288" s="24" t="s">
        <v>1337</v>
      </c>
      <c r="I288" s="24">
        <v>309</v>
      </c>
      <c r="J288" s="24">
        <v>-112</v>
      </c>
      <c r="K288" s="24" t="s">
        <v>33</v>
      </c>
      <c r="L288" s="24" t="s">
        <v>160</v>
      </c>
      <c r="M288" s="24" t="s">
        <v>1338</v>
      </c>
      <c r="N288" s="26" t="s">
        <v>30</v>
      </c>
      <c r="O288" s="26" t="str">
        <f>IF(NOT("https://truemarkets3d.net/3d-virtual-tour/housingbank-realestate/phase3/aq-re-100146/index.html" = ""), HYPERLINK("https://truemarkets3d.net/3d-virtual-tour/housingbank-realestate/phase3/aq-re-100146/index.html", "جولة"), "")</f>
        <v>جولة</v>
      </c>
      <c r="P288" s="26" t="str">
        <f>IF(NOT("https://maps.app.goo.gl/211YwpBmvUgA5Kkq5" = ""), HYPERLINK("https://maps.app.goo.gl/211YwpBmvUgA5Kkq5", "موقع"), "")</f>
        <v>موقع</v>
      </c>
      <c r="Q288" s="24">
        <v>43000</v>
      </c>
      <c r="R288" s="26" t="str">
        <f t="shared" si="4"/>
        <v>تقديم طلب</v>
      </c>
      <c r="S288" s="32" t="s">
        <v>4260</v>
      </c>
    </row>
    <row r="289" spans="1:19" s="23" customFormat="1" ht="90" x14ac:dyDescent="0.3">
      <c r="A289" s="24" t="s">
        <v>1339</v>
      </c>
      <c r="B289" s="25" t="s">
        <v>21</v>
      </c>
      <c r="C289" s="24" t="s">
        <v>59</v>
      </c>
      <c r="D289" s="24" t="s">
        <v>1100</v>
      </c>
      <c r="E289" s="24" t="s">
        <v>1143</v>
      </c>
      <c r="F289" s="24" t="s">
        <v>1340</v>
      </c>
      <c r="G289" s="24" t="s">
        <v>1341</v>
      </c>
      <c r="H289" s="24" t="s">
        <v>1342</v>
      </c>
      <c r="I289" s="24">
        <v>1213</v>
      </c>
      <c r="J289" s="24">
        <v>-102</v>
      </c>
      <c r="K289" s="24" t="s">
        <v>33</v>
      </c>
      <c r="L289" s="24" t="s">
        <v>1343</v>
      </c>
      <c r="M289" s="24" t="s">
        <v>1344</v>
      </c>
      <c r="N289" s="26" t="s">
        <v>30</v>
      </c>
      <c r="O289" s="26" t="str">
        <f>IF(NOT("https://truemarkets3d.net/3d-virtual-tour/housingbank-realestate/phase3/aq-re-100130/index.html" = ""), HYPERLINK("https://truemarkets3d.net/3d-virtual-tour/housingbank-realestate/phase3/aq-re-100130/index.html", "جولة"), "")</f>
        <v>جولة</v>
      </c>
      <c r="P289" s="26" t="str">
        <f>IF(NOT("https://maps.app.goo.gl/b1Hc8pAfjoevcjWLA" = ""), HYPERLINK("https://maps.app.goo.gl/b1Hc8pAfjoevcjWLA", "موقع"), "")</f>
        <v>موقع</v>
      </c>
      <c r="Q289" s="24">
        <v>43000</v>
      </c>
      <c r="R289" s="26" t="str">
        <f t="shared" si="4"/>
        <v>تقديم طلب</v>
      </c>
      <c r="S289" s="32" t="s">
        <v>4261</v>
      </c>
    </row>
    <row r="290" spans="1:19" s="23" customFormat="1" ht="105" x14ac:dyDescent="0.3">
      <c r="A290" s="24" t="s">
        <v>1345</v>
      </c>
      <c r="B290" s="25" t="s">
        <v>21</v>
      </c>
      <c r="C290" s="24" t="s">
        <v>59</v>
      </c>
      <c r="D290" s="24" t="s">
        <v>1100</v>
      </c>
      <c r="E290" s="24" t="s">
        <v>1162</v>
      </c>
      <c r="F290" s="24" t="s">
        <v>1183</v>
      </c>
      <c r="G290" s="24" t="s">
        <v>1285</v>
      </c>
      <c r="H290" s="24" t="s">
        <v>1346</v>
      </c>
      <c r="I290" s="24">
        <v>2488</v>
      </c>
      <c r="J290" s="24">
        <v>-101</v>
      </c>
      <c r="K290" s="24" t="s">
        <v>33</v>
      </c>
      <c r="L290" s="24" t="s">
        <v>219</v>
      </c>
      <c r="M290" s="24" t="s">
        <v>1347</v>
      </c>
      <c r="N290" s="26" t="s">
        <v>30</v>
      </c>
      <c r="O290" s="26" t="str">
        <f>IF(NOT("https://truemarkets3d.net/3d-virtual-tour/housingbank-realestate/phase3/aq-re-100027/index.html" = ""), HYPERLINK("https://truemarkets3d.net/3d-virtual-tour/housingbank-realestate/phase3/aq-re-100027/index.html", "جولة"), "")</f>
        <v>جولة</v>
      </c>
      <c r="P290" s="26" t="str">
        <f>IF(NOT("https://maps.app.goo.gl/pzVXtMBLw2zSNrni6" = ""), HYPERLINK("https://maps.app.goo.gl/pzVXtMBLw2zSNrni6", "موقع"), "")</f>
        <v>موقع</v>
      </c>
      <c r="Q290" s="24">
        <v>43000</v>
      </c>
      <c r="R290" s="26" t="str">
        <f t="shared" si="4"/>
        <v>تقديم طلب</v>
      </c>
      <c r="S290" s="32" t="s">
        <v>4262</v>
      </c>
    </row>
    <row r="291" spans="1:19" s="23" customFormat="1" ht="105" x14ac:dyDescent="0.3">
      <c r="A291" s="24" t="s">
        <v>1316</v>
      </c>
      <c r="B291" s="25" t="s">
        <v>21</v>
      </c>
      <c r="C291" s="24" t="s">
        <v>59</v>
      </c>
      <c r="D291" s="24" t="s">
        <v>1100</v>
      </c>
      <c r="E291" s="24" t="s">
        <v>1162</v>
      </c>
      <c r="F291" s="24" t="s">
        <v>1277</v>
      </c>
      <c r="G291" s="24" t="s">
        <v>1278</v>
      </c>
      <c r="H291" s="24" t="s">
        <v>1279</v>
      </c>
      <c r="I291" s="24">
        <v>1489</v>
      </c>
      <c r="J291" s="24">
        <v>-101</v>
      </c>
      <c r="K291" s="24" t="s">
        <v>33</v>
      </c>
      <c r="L291" s="24" t="s">
        <v>1317</v>
      </c>
      <c r="M291" s="24" t="s">
        <v>1318</v>
      </c>
      <c r="N291" s="26" t="s">
        <v>30</v>
      </c>
      <c r="O291" s="26" t="str">
        <f>IF(NOT("https://truemarkets3d.net/3d-virtual-tour/housingbank-realestate/phase3/aq-re-100478/index.html" = ""), HYPERLINK("https://truemarkets3d.net/3d-virtual-tour/housingbank-realestate/phase3/aq-re-100478/index.html", "جولة"), "")</f>
        <v>جولة</v>
      </c>
      <c r="P291" s="26" t="str">
        <f>IF(NOT("https://maps.app.goo.gl/eZrUbqiQZUf7VrZr7" = ""), HYPERLINK("https://maps.app.goo.gl/eZrUbqiQZUf7VrZr7", "موقع"), "")</f>
        <v>موقع</v>
      </c>
      <c r="Q291" s="24">
        <v>42000</v>
      </c>
      <c r="R291" s="26" t="str">
        <f t="shared" si="4"/>
        <v>تقديم طلب</v>
      </c>
      <c r="S291" s="32" t="s">
        <v>4263</v>
      </c>
    </row>
    <row r="292" spans="1:19" s="23" customFormat="1" ht="90" x14ac:dyDescent="0.3">
      <c r="A292" s="24" t="s">
        <v>1319</v>
      </c>
      <c r="B292" s="25" t="s">
        <v>21</v>
      </c>
      <c r="C292" s="24" t="s">
        <v>59</v>
      </c>
      <c r="D292" s="24" t="s">
        <v>1100</v>
      </c>
      <c r="E292" s="24" t="s">
        <v>1162</v>
      </c>
      <c r="F292" s="24" t="s">
        <v>1183</v>
      </c>
      <c r="G292" s="24" t="s">
        <v>1184</v>
      </c>
      <c r="H292" s="24" t="s">
        <v>1185</v>
      </c>
      <c r="I292" s="24">
        <v>6769</v>
      </c>
      <c r="J292" s="24">
        <v>-102</v>
      </c>
      <c r="K292" s="24" t="s">
        <v>33</v>
      </c>
      <c r="L292" s="24" t="s">
        <v>786</v>
      </c>
      <c r="M292" s="24" t="s">
        <v>1320</v>
      </c>
      <c r="N292" s="26" t="s">
        <v>30</v>
      </c>
      <c r="O292" s="26" t="s">
        <v>30</v>
      </c>
      <c r="P292" s="26" t="str">
        <f>IF(NOT("https://maps.app.goo.gl/yNcyY4Q45bH87qkj7" = ""), HYPERLINK("https://maps.app.goo.gl/yNcyY4Q45bH87qkj7", "موقع"), "")</f>
        <v>موقع</v>
      </c>
      <c r="Q292" s="24">
        <v>42000</v>
      </c>
      <c r="R292" s="26" t="str">
        <f t="shared" si="4"/>
        <v>تقديم طلب</v>
      </c>
      <c r="S292" s="32" t="s">
        <v>4264</v>
      </c>
    </row>
    <row r="293" spans="1:19" s="23" customFormat="1" ht="105" x14ac:dyDescent="0.3">
      <c r="A293" s="24" t="s">
        <v>1321</v>
      </c>
      <c r="B293" s="25" t="s">
        <v>21</v>
      </c>
      <c r="C293" s="24" t="s">
        <v>59</v>
      </c>
      <c r="D293" s="24" t="s">
        <v>1100</v>
      </c>
      <c r="E293" s="24" t="s">
        <v>1162</v>
      </c>
      <c r="F293" s="24" t="s">
        <v>1277</v>
      </c>
      <c r="G293" s="24" t="s">
        <v>1322</v>
      </c>
      <c r="H293" s="24" t="s">
        <v>1279</v>
      </c>
      <c r="I293" s="24">
        <v>499</v>
      </c>
      <c r="J293" s="24">
        <v>-101</v>
      </c>
      <c r="K293" s="24" t="s">
        <v>33</v>
      </c>
      <c r="L293" s="24" t="s">
        <v>1323</v>
      </c>
      <c r="M293" s="24" t="s">
        <v>1324</v>
      </c>
      <c r="N293" s="26" t="str">
        <f>IF(NOT("https://www.youtube.com/embed/U9vzjEodZPg" = ""), HYPERLINK("https://www.youtube.com/embed/U9vzjEodZPg", "فيديو"), "")</f>
        <v>فيديو</v>
      </c>
      <c r="O293" s="26" t="str">
        <f>IF(NOT("https://truemarkets3d.net/3d-virtual-tour/housingbank-realestate/phase3/aq-re-100535/index.html" = ""), HYPERLINK("https://truemarkets3d.net/3d-virtual-tour/housingbank-realestate/phase3/aq-re-100535/index.html", "جولة"), "")</f>
        <v>جولة</v>
      </c>
      <c r="P293" s="26" t="str">
        <f>IF(NOT("https://maps.app.goo.gl/MJJ1DuF6Zs6u4YJS8" = ""), HYPERLINK("https://maps.app.goo.gl/MJJ1DuF6Zs6u4YJS8", "موقع"), "")</f>
        <v>موقع</v>
      </c>
      <c r="Q293" s="24">
        <v>42000</v>
      </c>
      <c r="R293" s="26" t="str">
        <f t="shared" si="4"/>
        <v>تقديم طلب</v>
      </c>
      <c r="S293" s="32" t="s">
        <v>4265</v>
      </c>
    </row>
    <row r="294" spans="1:19" s="23" customFormat="1" ht="90" x14ac:dyDescent="0.3">
      <c r="A294" s="24" t="s">
        <v>1308</v>
      </c>
      <c r="B294" s="25" t="s">
        <v>21</v>
      </c>
      <c r="C294" s="24" t="s">
        <v>59</v>
      </c>
      <c r="D294" s="24" t="s">
        <v>1100</v>
      </c>
      <c r="E294" s="24" t="s">
        <v>1263</v>
      </c>
      <c r="F294" s="24" t="s">
        <v>1309</v>
      </c>
      <c r="G294" s="24" t="s">
        <v>1310</v>
      </c>
      <c r="H294" s="24" t="s">
        <v>1311</v>
      </c>
      <c r="I294" s="24">
        <v>63</v>
      </c>
      <c r="J294" s="24">
        <v>122</v>
      </c>
      <c r="K294" s="24" t="s">
        <v>73</v>
      </c>
      <c r="L294" s="24" t="s">
        <v>1312</v>
      </c>
      <c r="M294" s="24" t="s">
        <v>1313</v>
      </c>
      <c r="N294" s="26" t="s">
        <v>30</v>
      </c>
      <c r="O294" s="26" t="s">
        <v>30</v>
      </c>
      <c r="P294" s="26" t="str">
        <f>IF(NOT("https://maps.app.goo.gl/boHCvhcK4sWuF6V77" = ""), HYPERLINK("https://maps.app.goo.gl/boHCvhcK4sWuF6V77", "موقع"), "")</f>
        <v>موقع</v>
      </c>
      <c r="Q294" s="24">
        <v>41000</v>
      </c>
      <c r="R294" s="26" t="str">
        <f t="shared" si="4"/>
        <v>تقديم طلب</v>
      </c>
      <c r="S294" s="32" t="s">
        <v>4266</v>
      </c>
    </row>
    <row r="295" spans="1:19" s="23" customFormat="1" ht="90" x14ac:dyDescent="0.3">
      <c r="A295" s="24" t="s">
        <v>1314</v>
      </c>
      <c r="B295" s="25" t="s">
        <v>21</v>
      </c>
      <c r="C295" s="24" t="s">
        <v>59</v>
      </c>
      <c r="D295" s="24" t="s">
        <v>1100</v>
      </c>
      <c r="E295" s="24" t="s">
        <v>1263</v>
      </c>
      <c r="F295" s="24" t="s">
        <v>1309</v>
      </c>
      <c r="G295" s="24" t="s">
        <v>1310</v>
      </c>
      <c r="H295" s="24" t="s">
        <v>1311</v>
      </c>
      <c r="I295" s="24">
        <v>63</v>
      </c>
      <c r="J295" s="24">
        <v>132</v>
      </c>
      <c r="K295" s="24" t="s">
        <v>55</v>
      </c>
      <c r="L295" s="24" t="s">
        <v>1312</v>
      </c>
      <c r="M295" s="24" t="s">
        <v>1315</v>
      </c>
      <c r="N295" s="26" t="s">
        <v>30</v>
      </c>
      <c r="O295" s="26" t="s">
        <v>30</v>
      </c>
      <c r="P295" s="26" t="str">
        <f>IF(NOT("https://maps.app.goo.gl/boHCvhcK4sWuF6V77" = ""), HYPERLINK("https://maps.app.goo.gl/boHCvhcK4sWuF6V77", "موقع"), "")</f>
        <v>موقع</v>
      </c>
      <c r="Q295" s="24">
        <v>41000</v>
      </c>
      <c r="R295" s="26" t="str">
        <f t="shared" si="4"/>
        <v>تقديم طلب</v>
      </c>
      <c r="S295" s="32" t="s">
        <v>4267</v>
      </c>
    </row>
    <row r="296" spans="1:19" s="23" customFormat="1" ht="105" x14ac:dyDescent="0.3">
      <c r="A296" s="24" t="s">
        <v>1305</v>
      </c>
      <c r="B296" s="25" t="s">
        <v>21</v>
      </c>
      <c r="C296" s="24" t="s">
        <v>59</v>
      </c>
      <c r="D296" s="24" t="s">
        <v>1100</v>
      </c>
      <c r="E296" s="24" t="s">
        <v>1101</v>
      </c>
      <c r="F296" s="24" t="s">
        <v>1102</v>
      </c>
      <c r="G296" s="24" t="s">
        <v>1306</v>
      </c>
      <c r="H296" s="24" t="s">
        <v>1231</v>
      </c>
      <c r="I296" s="24">
        <v>397</v>
      </c>
      <c r="J296" s="24">
        <v>131</v>
      </c>
      <c r="K296" s="24" t="s">
        <v>55</v>
      </c>
      <c r="L296" s="24" t="s">
        <v>81</v>
      </c>
      <c r="M296" s="24" t="s">
        <v>1307</v>
      </c>
      <c r="N296" s="26" t="s">
        <v>30</v>
      </c>
      <c r="O296" s="26" t="s">
        <v>30</v>
      </c>
      <c r="P296" s="26" t="s">
        <v>30</v>
      </c>
      <c r="Q296" s="24">
        <v>40000</v>
      </c>
      <c r="R296" s="26" t="str">
        <f t="shared" si="4"/>
        <v>تقديم طلب</v>
      </c>
      <c r="S296" s="32" t="s">
        <v>4268</v>
      </c>
    </row>
    <row r="297" spans="1:19" s="23" customFormat="1" ht="90" x14ac:dyDescent="0.3">
      <c r="A297" s="24" t="s">
        <v>1300</v>
      </c>
      <c r="B297" s="25" t="s">
        <v>21</v>
      </c>
      <c r="C297" s="24" t="s">
        <v>59</v>
      </c>
      <c r="D297" s="24" t="s">
        <v>1100</v>
      </c>
      <c r="E297" s="24" t="s">
        <v>1101</v>
      </c>
      <c r="F297" s="24" t="s">
        <v>1102</v>
      </c>
      <c r="G297" s="24" t="s">
        <v>1301</v>
      </c>
      <c r="H297" s="24" t="s">
        <v>1302</v>
      </c>
      <c r="I297" s="24">
        <v>779</v>
      </c>
      <c r="J297" s="24">
        <v>102</v>
      </c>
      <c r="K297" s="24" t="s">
        <v>28</v>
      </c>
      <c r="L297" s="24" t="s">
        <v>1303</v>
      </c>
      <c r="M297" s="24" t="s">
        <v>1304</v>
      </c>
      <c r="N297" s="26" t="s">
        <v>30</v>
      </c>
      <c r="O297" s="26" t="str">
        <f>IF(NOT("https://truemarkets3d.net/3d-virtual-tour/housingbank-realestate/phase3/aq-re-100184/index.html" = ""), HYPERLINK("https://truemarkets3d.net/3d-virtual-tour/housingbank-realestate/phase3/aq-re-100184/index.html", "جولة"), "")</f>
        <v>جولة</v>
      </c>
      <c r="P297" s="26" t="str">
        <f>IF(NOT("https://maps.app.goo.gl/YAb79zfuPzgYQsi7A" = ""), HYPERLINK("https://maps.app.goo.gl/YAb79zfuPzgYQsi7A", "موقع"), "")</f>
        <v>موقع</v>
      </c>
      <c r="Q297" s="24">
        <v>39000</v>
      </c>
      <c r="R297" s="26" t="str">
        <f t="shared" si="4"/>
        <v>تقديم طلب</v>
      </c>
      <c r="S297" s="32" t="s">
        <v>4269</v>
      </c>
    </row>
    <row r="298" spans="1:19" s="23" customFormat="1" ht="90" x14ac:dyDescent="0.3">
      <c r="A298" s="24" t="s">
        <v>1295</v>
      </c>
      <c r="B298" s="25" t="s">
        <v>21</v>
      </c>
      <c r="C298" s="24" t="s">
        <v>59</v>
      </c>
      <c r="D298" s="24" t="s">
        <v>1100</v>
      </c>
      <c r="E298" s="24" t="s">
        <v>1143</v>
      </c>
      <c r="F298" s="24" t="s">
        <v>1153</v>
      </c>
      <c r="G298" s="24" t="s">
        <v>1244</v>
      </c>
      <c r="H298" s="24" t="s">
        <v>1209</v>
      </c>
      <c r="I298" s="24">
        <v>6329</v>
      </c>
      <c r="J298" s="24">
        <v>241</v>
      </c>
      <c r="K298" s="24" t="s">
        <v>198</v>
      </c>
      <c r="L298" s="24" t="s">
        <v>1296</v>
      </c>
      <c r="M298" s="24" t="s">
        <v>1297</v>
      </c>
      <c r="N298" s="26" t="s">
        <v>30</v>
      </c>
      <c r="O298" s="26" t="str">
        <f>IF(NOT("https://truemarkets3d.net/3d-virtual-tour/housingbank-realestate/phase3/aq-re-100345/index.html" = ""), HYPERLINK("https://truemarkets3d.net/3d-virtual-tour/housingbank-realestate/phase3/aq-re-100345/index.html", "جولة"), "")</f>
        <v>جولة</v>
      </c>
      <c r="P298" s="26" t="str">
        <f>IF(NOT("https://maps.app.goo.gl/8cAVQW4dZDPtuPu36" = ""), HYPERLINK("https://maps.app.goo.gl/8cAVQW4dZDPtuPu36", "موقع"), "")</f>
        <v>موقع</v>
      </c>
      <c r="Q298" s="24">
        <v>38000</v>
      </c>
      <c r="R298" s="26" t="str">
        <f t="shared" si="4"/>
        <v>تقديم طلب</v>
      </c>
      <c r="S298" s="32" t="s">
        <v>4270</v>
      </c>
    </row>
    <row r="299" spans="1:19" s="23" customFormat="1" ht="90" x14ac:dyDescent="0.3">
      <c r="A299" s="24" t="s">
        <v>1298</v>
      </c>
      <c r="B299" s="25" t="s">
        <v>21</v>
      </c>
      <c r="C299" s="24" t="s">
        <v>59</v>
      </c>
      <c r="D299" s="24" t="s">
        <v>1100</v>
      </c>
      <c r="E299" s="24" t="s">
        <v>1162</v>
      </c>
      <c r="F299" s="24" t="s">
        <v>1163</v>
      </c>
      <c r="G299" s="24" t="s">
        <v>1247</v>
      </c>
      <c r="H299" s="24" t="s">
        <v>1165</v>
      </c>
      <c r="I299" s="24">
        <v>3272</v>
      </c>
      <c r="J299" s="24">
        <v>102</v>
      </c>
      <c r="K299" s="24" t="s">
        <v>28</v>
      </c>
      <c r="L299" s="24" t="s">
        <v>1227</v>
      </c>
      <c r="M299" s="24" t="s">
        <v>1299</v>
      </c>
      <c r="N299" s="26" t="s">
        <v>30</v>
      </c>
      <c r="O299" s="26" t="s">
        <v>30</v>
      </c>
      <c r="P299" s="26" t="str">
        <f>IF(NOT("https://maps.app.goo.gl/KVbpBtAUNLD4fGf17" = ""), HYPERLINK("https://maps.app.goo.gl/KVbpBtAUNLD4fGf17", "موقع"), "")</f>
        <v>موقع</v>
      </c>
      <c r="Q299" s="24">
        <v>38000</v>
      </c>
      <c r="R299" s="26" t="str">
        <f t="shared" si="4"/>
        <v>تقديم طلب</v>
      </c>
      <c r="S299" s="32" t="s">
        <v>4271</v>
      </c>
    </row>
    <row r="300" spans="1:19" s="23" customFormat="1" ht="90" x14ac:dyDescent="0.3">
      <c r="A300" s="24" t="s">
        <v>1287</v>
      </c>
      <c r="B300" s="25" t="s">
        <v>21</v>
      </c>
      <c r="C300" s="24" t="s">
        <v>59</v>
      </c>
      <c r="D300" s="24" t="s">
        <v>1100</v>
      </c>
      <c r="E300" s="24" t="s">
        <v>1162</v>
      </c>
      <c r="F300" s="24" t="s">
        <v>1183</v>
      </c>
      <c r="G300" s="24" t="s">
        <v>1288</v>
      </c>
      <c r="H300" s="24" t="s">
        <v>1289</v>
      </c>
      <c r="I300" s="24">
        <v>974</v>
      </c>
      <c r="J300" s="24">
        <v>-111</v>
      </c>
      <c r="K300" s="24" t="s">
        <v>28</v>
      </c>
      <c r="L300" s="24" t="s">
        <v>1267</v>
      </c>
      <c r="M300" s="24" t="s">
        <v>1290</v>
      </c>
      <c r="N300" s="26" t="s">
        <v>30</v>
      </c>
      <c r="O300" s="26" t="s">
        <v>30</v>
      </c>
      <c r="P300" s="26" t="s">
        <v>30</v>
      </c>
      <c r="Q300" s="24">
        <v>37000</v>
      </c>
      <c r="R300" s="26" t="str">
        <f t="shared" si="4"/>
        <v>تقديم طلب</v>
      </c>
      <c r="S300" s="32" t="s">
        <v>4272</v>
      </c>
    </row>
    <row r="301" spans="1:19" s="23" customFormat="1" ht="90" x14ac:dyDescent="0.3">
      <c r="A301" s="24" t="s">
        <v>1291</v>
      </c>
      <c r="B301" s="25" t="s">
        <v>21</v>
      </c>
      <c r="C301" s="24" t="s">
        <v>59</v>
      </c>
      <c r="D301" s="24" t="s">
        <v>1100</v>
      </c>
      <c r="E301" s="24" t="s">
        <v>1101</v>
      </c>
      <c r="F301" s="24" t="s">
        <v>1102</v>
      </c>
      <c r="G301" s="24" t="s">
        <v>1292</v>
      </c>
      <c r="H301" s="24" t="s">
        <v>1293</v>
      </c>
      <c r="I301" s="24">
        <v>1597</v>
      </c>
      <c r="J301" s="24">
        <v>132</v>
      </c>
      <c r="K301" s="24" t="s">
        <v>55</v>
      </c>
      <c r="L301" s="24" t="s">
        <v>103</v>
      </c>
      <c r="M301" s="24" t="s">
        <v>1294</v>
      </c>
      <c r="N301" s="26" t="s">
        <v>30</v>
      </c>
      <c r="O301" s="26" t="str">
        <f>IF(NOT("https://truemarkets3d.net/3d-virtual-tour/housingbank-realestate/phase3/aq-re-100384/index.html" = ""), HYPERLINK("https://truemarkets3d.net/3d-virtual-tour/housingbank-realestate/phase3/aq-re-100384/index.html", "جولة"), "")</f>
        <v>جولة</v>
      </c>
      <c r="P301" s="26" t="str">
        <f>IF(NOT("https://maps.app.goo.gl/avzK77Gt6NLxUM4k8" = ""), HYPERLINK("https://maps.app.goo.gl/avzK77Gt6NLxUM4k8", "موقع"), "")</f>
        <v>موقع</v>
      </c>
      <c r="Q301" s="24">
        <v>37000</v>
      </c>
      <c r="R301" s="26" t="str">
        <f t="shared" si="4"/>
        <v>تقديم طلب</v>
      </c>
      <c r="S301" s="32" t="s">
        <v>4273</v>
      </c>
    </row>
    <row r="302" spans="1:19" s="23" customFormat="1" ht="120" x14ac:dyDescent="0.3">
      <c r="A302" s="24" t="s">
        <v>1281</v>
      </c>
      <c r="B302" s="25" t="s">
        <v>21</v>
      </c>
      <c r="C302" s="24" t="s">
        <v>59</v>
      </c>
      <c r="D302" s="24" t="s">
        <v>1100</v>
      </c>
      <c r="E302" s="24" t="s">
        <v>1143</v>
      </c>
      <c r="F302" s="24" t="s">
        <v>1153</v>
      </c>
      <c r="G302" s="24" t="s">
        <v>1244</v>
      </c>
      <c r="H302" s="24" t="s">
        <v>1209</v>
      </c>
      <c r="I302" s="24">
        <v>6268</v>
      </c>
      <c r="J302" s="24">
        <v>-111</v>
      </c>
      <c r="K302" s="24" t="s">
        <v>33</v>
      </c>
      <c r="L302" s="24" t="s">
        <v>1282</v>
      </c>
      <c r="M302" s="24" t="s">
        <v>1283</v>
      </c>
      <c r="N302" s="26" t="s">
        <v>30</v>
      </c>
      <c r="O302" s="26" t="str">
        <f>IF(NOT("https://truemarkets3d.net/3d-virtual-tour/housingbank-realestate/phase3/aq-re-100484/index.html" = ""), HYPERLINK("https://truemarkets3d.net/3d-virtual-tour/housingbank-realestate/phase3/aq-re-100484/index.html", "جولة"), "")</f>
        <v>جولة</v>
      </c>
      <c r="P302" s="26" t="str">
        <f>IF(NOT("https://maps.app.goo.gl/KDy3Gtuicwz5XZ1M9" = ""), HYPERLINK("https://maps.app.goo.gl/KDy3Gtuicwz5XZ1M9", "موقع"), "")</f>
        <v>موقع</v>
      </c>
      <c r="Q302" s="24">
        <v>36000</v>
      </c>
      <c r="R302" s="26" t="str">
        <f t="shared" si="4"/>
        <v>تقديم طلب</v>
      </c>
      <c r="S302" s="32" t="s">
        <v>4274</v>
      </c>
    </row>
    <row r="303" spans="1:19" s="23" customFormat="1" ht="90" x14ac:dyDescent="0.3">
      <c r="A303" s="24" t="s">
        <v>1284</v>
      </c>
      <c r="B303" s="25" t="s">
        <v>21</v>
      </c>
      <c r="C303" s="24" t="s">
        <v>59</v>
      </c>
      <c r="D303" s="24" t="s">
        <v>1100</v>
      </c>
      <c r="E303" s="24" t="s">
        <v>1162</v>
      </c>
      <c r="F303" s="24" t="s">
        <v>1183</v>
      </c>
      <c r="G303" s="24" t="s">
        <v>1285</v>
      </c>
      <c r="H303" s="24" t="s">
        <v>1279</v>
      </c>
      <c r="I303" s="24">
        <v>2848</v>
      </c>
      <c r="J303" s="24">
        <v>-102</v>
      </c>
      <c r="K303" s="24" t="s">
        <v>33</v>
      </c>
      <c r="L303" s="24" t="s">
        <v>802</v>
      </c>
      <c r="M303" s="24" t="s">
        <v>1286</v>
      </c>
      <c r="N303" s="26" t="s">
        <v>30</v>
      </c>
      <c r="O303" s="26" t="s">
        <v>30</v>
      </c>
      <c r="P303" s="26" t="s">
        <v>30</v>
      </c>
      <c r="Q303" s="24">
        <v>36000</v>
      </c>
      <c r="R303" s="26" t="str">
        <f t="shared" si="4"/>
        <v>تقديم طلب</v>
      </c>
      <c r="S303" s="32" t="s">
        <v>4275</v>
      </c>
    </row>
    <row r="304" spans="1:19" s="23" customFormat="1" ht="90" x14ac:dyDescent="0.3">
      <c r="A304" s="24" t="s">
        <v>1272</v>
      </c>
      <c r="B304" s="25" t="s">
        <v>21</v>
      </c>
      <c r="C304" s="24" t="s">
        <v>59</v>
      </c>
      <c r="D304" s="24" t="s">
        <v>1100</v>
      </c>
      <c r="E304" s="24" t="s">
        <v>1143</v>
      </c>
      <c r="F304" s="24" t="s">
        <v>1175</v>
      </c>
      <c r="G304" s="24" t="s">
        <v>1273</v>
      </c>
      <c r="H304" s="24" t="s">
        <v>1177</v>
      </c>
      <c r="I304" s="24">
        <v>166</v>
      </c>
      <c r="J304" s="24">
        <v>112</v>
      </c>
      <c r="K304" s="24" t="s">
        <v>43</v>
      </c>
      <c r="L304" s="24" t="s">
        <v>1274</v>
      </c>
      <c r="M304" s="24" t="s">
        <v>1275</v>
      </c>
      <c r="N304" s="26" t="s">
        <v>30</v>
      </c>
      <c r="O304" s="26" t="s">
        <v>30</v>
      </c>
      <c r="P304" s="26" t="str">
        <f>IF(NOT("https://maps.app.goo.gl/uVfEAgVjitVGzwV2A" = ""), HYPERLINK("https://maps.app.goo.gl/uVfEAgVjitVGzwV2A", "موقع"), "")</f>
        <v>موقع</v>
      </c>
      <c r="Q304" s="24">
        <v>35000</v>
      </c>
      <c r="R304" s="26" t="str">
        <f t="shared" si="4"/>
        <v>تقديم طلب</v>
      </c>
      <c r="S304" s="32" t="s">
        <v>4276</v>
      </c>
    </row>
    <row r="305" spans="1:19" s="23" customFormat="1" ht="90" x14ac:dyDescent="0.3">
      <c r="A305" s="24" t="s">
        <v>1276</v>
      </c>
      <c r="B305" s="25" t="s">
        <v>21</v>
      </c>
      <c r="C305" s="24" t="s">
        <v>59</v>
      </c>
      <c r="D305" s="24" t="s">
        <v>1100</v>
      </c>
      <c r="E305" s="24" t="s">
        <v>1162</v>
      </c>
      <c r="F305" s="24" t="s">
        <v>1277</v>
      </c>
      <c r="G305" s="24" t="s">
        <v>1278</v>
      </c>
      <c r="H305" s="24" t="s">
        <v>1279</v>
      </c>
      <c r="I305" s="24">
        <v>1989</v>
      </c>
      <c r="J305" s="24">
        <v>-101</v>
      </c>
      <c r="K305" s="24" t="s">
        <v>33</v>
      </c>
      <c r="L305" s="24" t="s">
        <v>131</v>
      </c>
      <c r="M305" s="24" t="s">
        <v>1280</v>
      </c>
      <c r="N305" s="26" t="s">
        <v>30</v>
      </c>
      <c r="O305" s="26" t="str">
        <f>IF(NOT("https://truemarkets3d.net/3d-virtual-tour/housingbank-realestate/phase3/aq-re-100133/index.html" = ""), HYPERLINK("https://truemarkets3d.net/3d-virtual-tour/housingbank-realestate/phase3/aq-re-100133/index.html", "جولة"), "")</f>
        <v>جولة</v>
      </c>
      <c r="P305" s="26" t="str">
        <f>IF(NOT("https://maps.app.goo.gl/MGV17BkDEptxmrii6" = ""), HYPERLINK("https://maps.app.goo.gl/MGV17BkDEptxmrii6", "موقع"), "")</f>
        <v>موقع</v>
      </c>
      <c r="Q305" s="24">
        <v>35000</v>
      </c>
      <c r="R305" s="26" t="str">
        <f t="shared" si="4"/>
        <v>تقديم طلب</v>
      </c>
      <c r="S305" s="32" t="s">
        <v>4277</v>
      </c>
    </row>
    <row r="306" spans="1:19" s="23" customFormat="1" ht="90" x14ac:dyDescent="0.3">
      <c r="A306" s="24" t="s">
        <v>1262</v>
      </c>
      <c r="B306" s="25" t="s">
        <v>21</v>
      </c>
      <c r="C306" s="24" t="s">
        <v>59</v>
      </c>
      <c r="D306" s="24" t="s">
        <v>1100</v>
      </c>
      <c r="E306" s="24" t="s">
        <v>1263</v>
      </c>
      <c r="F306" s="24" t="s">
        <v>1264</v>
      </c>
      <c r="G306" s="24" t="s">
        <v>1265</v>
      </c>
      <c r="H306" s="24" t="s">
        <v>1266</v>
      </c>
      <c r="I306" s="24">
        <v>1605</v>
      </c>
      <c r="J306" s="24">
        <v>131</v>
      </c>
      <c r="K306" s="24" t="s">
        <v>55</v>
      </c>
      <c r="L306" s="24" t="s">
        <v>1267</v>
      </c>
      <c r="M306" s="24" t="s">
        <v>1268</v>
      </c>
      <c r="N306" s="26" t="s">
        <v>30</v>
      </c>
      <c r="O306" s="26" t="str">
        <f>IF(NOT("https://truemarkets3d.net/3d-virtual-tour/housingbank-realestate/phase3/aq-re-100174/index.html" = ""), HYPERLINK("https://truemarkets3d.net/3d-virtual-tour/housingbank-realestate/phase3/aq-re-100174/index.html", "جولة"), "")</f>
        <v>جولة</v>
      </c>
      <c r="P306" s="26" t="str">
        <f>IF(NOT("https://maps.app.goo.gl/WaxN6ZWFE4AJ92L17" = ""), HYPERLINK("https://maps.app.goo.gl/WaxN6ZWFE4AJ92L17", "موقع"), "")</f>
        <v>موقع</v>
      </c>
      <c r="Q306" s="24">
        <v>33000</v>
      </c>
      <c r="R306" s="26" t="str">
        <f t="shared" si="4"/>
        <v>تقديم طلب</v>
      </c>
      <c r="S306" s="32" t="s">
        <v>4278</v>
      </c>
    </row>
    <row r="307" spans="1:19" s="23" customFormat="1" ht="90" x14ac:dyDescent="0.3">
      <c r="A307" s="24" t="s">
        <v>1269</v>
      </c>
      <c r="B307" s="25" t="s">
        <v>21</v>
      </c>
      <c r="C307" s="24" t="s">
        <v>59</v>
      </c>
      <c r="D307" s="24" t="s">
        <v>1100</v>
      </c>
      <c r="E307" s="24" t="s">
        <v>1162</v>
      </c>
      <c r="F307" s="24" t="s">
        <v>1163</v>
      </c>
      <c r="G307" s="24" t="s">
        <v>1189</v>
      </c>
      <c r="H307" s="24" t="s">
        <v>1165</v>
      </c>
      <c r="I307" s="24">
        <v>1407</v>
      </c>
      <c r="J307" s="24">
        <v>-101</v>
      </c>
      <c r="K307" s="24" t="s">
        <v>28</v>
      </c>
      <c r="L307" s="24" t="s">
        <v>1270</v>
      </c>
      <c r="M307" s="24" t="s">
        <v>1271</v>
      </c>
      <c r="N307" s="26" t="s">
        <v>30</v>
      </c>
      <c r="O307" s="26" t="str">
        <f>IF(NOT("https://truemarkets3d.net/3d-virtual-tour/housingbank-realestate/phase3/aq-re-100323/index.html" = ""), HYPERLINK("https://truemarkets3d.net/3d-virtual-tour/housingbank-realestate/phase3/aq-re-100323/index.html", "جولة"), "")</f>
        <v>جولة</v>
      </c>
      <c r="P307" s="26" t="str">
        <f>IF(NOT("https://maps.app.goo.gl/AMmEKf5h3mgNwH1DA" = ""), HYPERLINK("https://maps.app.goo.gl/AMmEKf5h3mgNwH1DA", "موقع"), "")</f>
        <v>موقع</v>
      </c>
      <c r="Q307" s="24">
        <v>33000</v>
      </c>
      <c r="R307" s="26" t="str">
        <f t="shared" si="4"/>
        <v>تقديم طلب</v>
      </c>
      <c r="S307" s="32" t="s">
        <v>4279</v>
      </c>
    </row>
    <row r="308" spans="1:19" s="23" customFormat="1" ht="90" x14ac:dyDescent="0.3">
      <c r="A308" s="24" t="s">
        <v>1253</v>
      </c>
      <c r="B308" s="25" t="s">
        <v>21</v>
      </c>
      <c r="C308" s="24" t="s">
        <v>59</v>
      </c>
      <c r="D308" s="24" t="s">
        <v>1100</v>
      </c>
      <c r="E308" s="24" t="s">
        <v>1143</v>
      </c>
      <c r="F308" s="24" t="s">
        <v>1153</v>
      </c>
      <c r="G308" s="24" t="s">
        <v>1244</v>
      </c>
      <c r="H308" s="24" t="s">
        <v>1254</v>
      </c>
      <c r="I308" s="24">
        <v>3581</v>
      </c>
      <c r="J308" s="24">
        <v>-121</v>
      </c>
      <c r="K308" s="24" t="s">
        <v>551</v>
      </c>
      <c r="L308" s="24" t="s">
        <v>67</v>
      </c>
      <c r="M308" s="24" t="s">
        <v>1255</v>
      </c>
      <c r="N308" s="26" t="s">
        <v>30</v>
      </c>
      <c r="O308" s="26" t="s">
        <v>30</v>
      </c>
      <c r="P308" s="26" t="s">
        <v>30</v>
      </c>
      <c r="Q308" s="24">
        <v>32000</v>
      </c>
      <c r="R308" s="26" t="str">
        <f t="shared" si="4"/>
        <v>تقديم طلب</v>
      </c>
      <c r="S308" s="32" t="s">
        <v>4280</v>
      </c>
    </row>
    <row r="309" spans="1:19" s="23" customFormat="1" ht="105" x14ac:dyDescent="0.3">
      <c r="A309" s="24" t="s">
        <v>1256</v>
      </c>
      <c r="B309" s="25" t="s">
        <v>21</v>
      </c>
      <c r="C309" s="24" t="s">
        <v>59</v>
      </c>
      <c r="D309" s="24" t="s">
        <v>1100</v>
      </c>
      <c r="E309" s="24" t="s">
        <v>1162</v>
      </c>
      <c r="F309" s="24" t="s">
        <v>1183</v>
      </c>
      <c r="G309" s="24" t="s">
        <v>1184</v>
      </c>
      <c r="H309" s="24" t="s">
        <v>1185</v>
      </c>
      <c r="I309" s="24">
        <v>6594</v>
      </c>
      <c r="J309" s="24">
        <v>-102</v>
      </c>
      <c r="K309" s="24" t="s">
        <v>33</v>
      </c>
      <c r="L309" s="24" t="s">
        <v>1257</v>
      </c>
      <c r="M309" s="24" t="s">
        <v>1258</v>
      </c>
      <c r="N309" s="26" t="s">
        <v>30</v>
      </c>
      <c r="O309" s="26" t="s">
        <v>30</v>
      </c>
      <c r="P309" s="26" t="str">
        <f>IF(NOT("https://maps.app.goo.gl/Vsa2FPvPc3b5Dv6y9" = ""), HYPERLINK("https://maps.app.goo.gl/Vsa2FPvPc3b5Dv6y9", "موقع"), "")</f>
        <v>موقع</v>
      </c>
      <c r="Q309" s="24">
        <v>32000</v>
      </c>
      <c r="R309" s="26" t="str">
        <f t="shared" si="4"/>
        <v>تقديم طلب</v>
      </c>
      <c r="S309" s="32" t="s">
        <v>4281</v>
      </c>
    </row>
    <row r="310" spans="1:19" s="23" customFormat="1" ht="90" x14ac:dyDescent="0.3">
      <c r="A310" s="24" t="s">
        <v>1259</v>
      </c>
      <c r="B310" s="25" t="s">
        <v>21</v>
      </c>
      <c r="C310" s="24" t="s">
        <v>59</v>
      </c>
      <c r="D310" s="24" t="s">
        <v>1100</v>
      </c>
      <c r="E310" s="24" t="s">
        <v>1162</v>
      </c>
      <c r="F310" s="24" t="s">
        <v>1163</v>
      </c>
      <c r="G310" s="24" t="s">
        <v>1247</v>
      </c>
      <c r="H310" s="24" t="s">
        <v>1165</v>
      </c>
      <c r="I310" s="24">
        <v>3272</v>
      </c>
      <c r="J310" s="24">
        <v>111</v>
      </c>
      <c r="K310" s="24" t="s">
        <v>43</v>
      </c>
      <c r="L310" s="24" t="s">
        <v>1227</v>
      </c>
      <c r="M310" s="24" t="s">
        <v>1260</v>
      </c>
      <c r="N310" s="26" t="s">
        <v>30</v>
      </c>
      <c r="O310" s="26" t="s">
        <v>30</v>
      </c>
      <c r="P310" s="26" t="str">
        <f>IF(NOT("https://maps.app.goo.gl/KVbpBtAUNLD4fGf17" = ""), HYPERLINK("https://maps.app.goo.gl/KVbpBtAUNLD4fGf17", "موقع"), "")</f>
        <v>موقع</v>
      </c>
      <c r="Q310" s="24">
        <v>32000</v>
      </c>
      <c r="R310" s="26" t="str">
        <f t="shared" si="4"/>
        <v>تقديم طلب</v>
      </c>
      <c r="S310" s="32" t="s">
        <v>4282</v>
      </c>
    </row>
    <row r="311" spans="1:19" s="23" customFormat="1" ht="90" x14ac:dyDescent="0.3">
      <c r="A311" s="24" t="s">
        <v>1261</v>
      </c>
      <c r="B311" s="25" t="s">
        <v>21</v>
      </c>
      <c r="C311" s="24" t="s">
        <v>59</v>
      </c>
      <c r="D311" s="24" t="s">
        <v>1100</v>
      </c>
      <c r="E311" s="24" t="s">
        <v>1162</v>
      </c>
      <c r="F311" s="24" t="s">
        <v>1163</v>
      </c>
      <c r="G311" s="24" t="s">
        <v>1247</v>
      </c>
      <c r="H311" s="24" t="s">
        <v>1165</v>
      </c>
      <c r="I311" s="24">
        <v>3272</v>
      </c>
      <c r="J311" s="24">
        <v>112</v>
      </c>
      <c r="K311" s="24" t="s">
        <v>43</v>
      </c>
      <c r="L311" s="24" t="s">
        <v>1227</v>
      </c>
      <c r="M311" s="24" t="s">
        <v>1260</v>
      </c>
      <c r="N311" s="26" t="s">
        <v>30</v>
      </c>
      <c r="O311" s="26" t="s">
        <v>30</v>
      </c>
      <c r="P311" s="26" t="str">
        <f>IF(NOT("https://maps.app.goo.gl/aJVnusEN6pMP5L547" = ""), HYPERLINK("https://maps.app.goo.gl/aJVnusEN6pMP5L547", "موقع"), "")</f>
        <v>موقع</v>
      </c>
      <c r="Q311" s="24">
        <v>32000</v>
      </c>
      <c r="R311" s="26" t="str">
        <f t="shared" si="4"/>
        <v>تقديم طلب</v>
      </c>
      <c r="S311" s="32" t="s">
        <v>4283</v>
      </c>
    </row>
    <row r="312" spans="1:19" s="23" customFormat="1" ht="90" x14ac:dyDescent="0.3">
      <c r="A312" s="24" t="s">
        <v>1250</v>
      </c>
      <c r="B312" s="25" t="s">
        <v>21</v>
      </c>
      <c r="C312" s="24" t="s">
        <v>59</v>
      </c>
      <c r="D312" s="24" t="s">
        <v>1100</v>
      </c>
      <c r="E312" s="24" t="s">
        <v>1162</v>
      </c>
      <c r="F312" s="24" t="s">
        <v>1163</v>
      </c>
      <c r="G312" s="24" t="s">
        <v>1247</v>
      </c>
      <c r="H312" s="24" t="s">
        <v>1165</v>
      </c>
      <c r="I312" s="24">
        <v>3272</v>
      </c>
      <c r="J312" s="24">
        <v>122</v>
      </c>
      <c r="K312" s="24" t="s">
        <v>73</v>
      </c>
      <c r="L312" s="24" t="s">
        <v>1227</v>
      </c>
      <c r="M312" s="24" t="s">
        <v>1251</v>
      </c>
      <c r="N312" s="26" t="s">
        <v>30</v>
      </c>
      <c r="O312" s="26" t="s">
        <v>30</v>
      </c>
      <c r="P312" s="26" t="str">
        <f>IF(NOT("https://maps.app.goo.gl/KVbpBtAUNLD4fGf17" = ""), HYPERLINK("https://maps.app.goo.gl/KVbpBtAUNLD4fGf17", "موقع"), "")</f>
        <v>موقع</v>
      </c>
      <c r="Q312" s="24">
        <v>31000</v>
      </c>
      <c r="R312" s="26" t="str">
        <f t="shared" si="4"/>
        <v>تقديم طلب</v>
      </c>
      <c r="S312" s="32" t="s">
        <v>4284</v>
      </c>
    </row>
    <row r="313" spans="1:19" s="23" customFormat="1" ht="90" x14ac:dyDescent="0.3">
      <c r="A313" s="24" t="s">
        <v>1252</v>
      </c>
      <c r="B313" s="25" t="s">
        <v>21</v>
      </c>
      <c r="C313" s="24" t="s">
        <v>59</v>
      </c>
      <c r="D313" s="24" t="s">
        <v>1100</v>
      </c>
      <c r="E313" s="24" t="s">
        <v>1162</v>
      </c>
      <c r="F313" s="24" t="s">
        <v>1163</v>
      </c>
      <c r="G313" s="24" t="s">
        <v>1247</v>
      </c>
      <c r="H313" s="24" t="s">
        <v>1165</v>
      </c>
      <c r="I313" s="24">
        <v>3272</v>
      </c>
      <c r="J313" s="24">
        <v>121</v>
      </c>
      <c r="K313" s="24" t="s">
        <v>73</v>
      </c>
      <c r="L313" s="24" t="s">
        <v>1227</v>
      </c>
      <c r="M313" s="24" t="s">
        <v>1251</v>
      </c>
      <c r="N313" s="26" t="s">
        <v>30</v>
      </c>
      <c r="O313" s="26" t="s">
        <v>30</v>
      </c>
      <c r="P313" s="26" t="s">
        <v>30</v>
      </c>
      <c r="Q313" s="24">
        <v>31000</v>
      </c>
      <c r="R313" s="26" t="str">
        <f t="shared" si="4"/>
        <v>تقديم طلب</v>
      </c>
      <c r="S313" s="32" t="s">
        <v>4285</v>
      </c>
    </row>
    <row r="314" spans="1:19" s="23" customFormat="1" ht="90" x14ac:dyDescent="0.3">
      <c r="A314" s="24" t="s">
        <v>1243</v>
      </c>
      <c r="B314" s="25" t="s">
        <v>21</v>
      </c>
      <c r="C314" s="24" t="s">
        <v>59</v>
      </c>
      <c r="D314" s="24" t="s">
        <v>1100</v>
      </c>
      <c r="E314" s="24" t="s">
        <v>1143</v>
      </c>
      <c r="F314" s="24" t="s">
        <v>1153</v>
      </c>
      <c r="G314" s="24" t="s">
        <v>1244</v>
      </c>
      <c r="H314" s="24" t="s">
        <v>1209</v>
      </c>
      <c r="I314" s="24">
        <v>6217</v>
      </c>
      <c r="J314" s="24">
        <v>123</v>
      </c>
      <c r="K314" s="24" t="s">
        <v>73</v>
      </c>
      <c r="L314" s="24" t="s">
        <v>272</v>
      </c>
      <c r="M314" s="24" t="s">
        <v>1245</v>
      </c>
      <c r="N314" s="26" t="s">
        <v>30</v>
      </c>
      <c r="O314" s="26" t="str">
        <f>IF(NOT("https://truemarkets3d.net/3d-virtual-tour/housingbank-realestate/phase3/aq-re-100860/index.html" = ""), HYPERLINK("https://truemarkets3d.net/3d-virtual-tour/housingbank-realestate/phase3/aq-re-100860/index.html", "جولة"), "")</f>
        <v>جولة</v>
      </c>
      <c r="P314" s="26" t="str">
        <f>IF(NOT("https://maps.app.goo.gl/iXC6GxQpcnzo8KVt8" = ""), HYPERLINK("https://maps.app.goo.gl/iXC6GxQpcnzo8KVt8", "موقع"), "")</f>
        <v>موقع</v>
      </c>
      <c r="Q314" s="24">
        <v>30000</v>
      </c>
      <c r="R314" s="26" t="str">
        <f t="shared" si="4"/>
        <v>تقديم طلب</v>
      </c>
      <c r="S314" s="32" t="s">
        <v>4286</v>
      </c>
    </row>
    <row r="315" spans="1:19" s="23" customFormat="1" ht="90" x14ac:dyDescent="0.3">
      <c r="A315" s="24" t="s">
        <v>1246</v>
      </c>
      <c r="B315" s="25" t="s">
        <v>21</v>
      </c>
      <c r="C315" s="24" t="s">
        <v>59</v>
      </c>
      <c r="D315" s="24" t="s">
        <v>1100</v>
      </c>
      <c r="E315" s="24" t="s">
        <v>1162</v>
      </c>
      <c r="F315" s="24" t="s">
        <v>1163</v>
      </c>
      <c r="G315" s="24" t="s">
        <v>1247</v>
      </c>
      <c r="H315" s="24" t="s">
        <v>1165</v>
      </c>
      <c r="I315" s="24">
        <v>3272</v>
      </c>
      <c r="J315" s="24">
        <v>132</v>
      </c>
      <c r="K315" s="24" t="s">
        <v>55</v>
      </c>
      <c r="L315" s="24" t="s">
        <v>1227</v>
      </c>
      <c r="M315" s="24" t="s">
        <v>1248</v>
      </c>
      <c r="N315" s="26" t="s">
        <v>30</v>
      </c>
      <c r="O315" s="26" t="s">
        <v>30</v>
      </c>
      <c r="P315" s="26" t="str">
        <f>IF(NOT("https://maps.app.goo.gl/KVbpBtAUNLD4fGf17" = ""), HYPERLINK("https://maps.app.goo.gl/KVbpBtAUNLD4fGf17", "موقع"), "")</f>
        <v>موقع</v>
      </c>
      <c r="Q315" s="24">
        <v>30000</v>
      </c>
      <c r="R315" s="26" t="str">
        <f t="shared" si="4"/>
        <v>تقديم طلب</v>
      </c>
      <c r="S315" s="32" t="s">
        <v>4287</v>
      </c>
    </row>
    <row r="316" spans="1:19" s="23" customFormat="1" ht="90" x14ac:dyDescent="0.3">
      <c r="A316" s="24" t="s">
        <v>1249</v>
      </c>
      <c r="B316" s="25" t="s">
        <v>21</v>
      </c>
      <c r="C316" s="24" t="s">
        <v>59</v>
      </c>
      <c r="D316" s="24" t="s">
        <v>1100</v>
      </c>
      <c r="E316" s="24" t="s">
        <v>1162</v>
      </c>
      <c r="F316" s="24" t="s">
        <v>1163</v>
      </c>
      <c r="G316" s="24" t="s">
        <v>1247</v>
      </c>
      <c r="H316" s="24" t="s">
        <v>1165</v>
      </c>
      <c r="I316" s="24">
        <v>3272</v>
      </c>
      <c r="J316" s="24">
        <v>131</v>
      </c>
      <c r="K316" s="24" t="s">
        <v>55</v>
      </c>
      <c r="L316" s="24" t="s">
        <v>1227</v>
      </c>
      <c r="M316" s="24" t="s">
        <v>1248</v>
      </c>
      <c r="N316" s="26" t="s">
        <v>30</v>
      </c>
      <c r="O316" s="26" t="s">
        <v>30</v>
      </c>
      <c r="P316" s="26" t="s">
        <v>30</v>
      </c>
      <c r="Q316" s="24">
        <v>30000</v>
      </c>
      <c r="R316" s="26" t="str">
        <f t="shared" si="4"/>
        <v>تقديم طلب</v>
      </c>
      <c r="S316" s="32" t="s">
        <v>4288</v>
      </c>
    </row>
    <row r="317" spans="1:19" s="23" customFormat="1" ht="105" x14ac:dyDescent="0.3">
      <c r="A317" s="24" t="s">
        <v>1229</v>
      </c>
      <c r="B317" s="25" t="s">
        <v>21</v>
      </c>
      <c r="C317" s="24" t="s">
        <v>59</v>
      </c>
      <c r="D317" s="24" t="s">
        <v>1100</v>
      </c>
      <c r="E317" s="24" t="s">
        <v>1101</v>
      </c>
      <c r="F317" s="24" t="s">
        <v>1102</v>
      </c>
      <c r="G317" s="24" t="s">
        <v>1230</v>
      </c>
      <c r="H317" s="24" t="s">
        <v>1231</v>
      </c>
      <c r="I317" s="24">
        <v>1356</v>
      </c>
      <c r="J317" s="24">
        <v>101</v>
      </c>
      <c r="K317" s="24" t="s">
        <v>28</v>
      </c>
      <c r="L317" s="24" t="s">
        <v>1232</v>
      </c>
      <c r="M317" s="24" t="s">
        <v>1233</v>
      </c>
      <c r="N317" s="26" t="s">
        <v>30</v>
      </c>
      <c r="O317" s="26" t="str">
        <f>IF(NOT("https://truemarkets3d.net/3d-virtual-tour/housingbank-realestate/phase3/aq-re-100512/index.html" = ""), HYPERLINK("https://truemarkets3d.net/3d-virtual-tour/housingbank-realestate/phase3/aq-re-100512/index.html", "جولة"), "")</f>
        <v>جولة</v>
      </c>
      <c r="P317" s="26" t="str">
        <f>IF(NOT("https://maps.app.goo.gl/q8jxZJE12xrqNLrV8" = ""), HYPERLINK("https://maps.app.goo.gl/q8jxZJE12xrqNLrV8", "موقع"), "")</f>
        <v>موقع</v>
      </c>
      <c r="Q317" s="24">
        <v>29000</v>
      </c>
      <c r="R317" s="26" t="str">
        <f t="shared" si="4"/>
        <v>تقديم طلب</v>
      </c>
      <c r="S317" s="32" t="s">
        <v>4289</v>
      </c>
    </row>
    <row r="318" spans="1:19" s="23" customFormat="1" ht="90" x14ac:dyDescent="0.3">
      <c r="A318" s="24" t="s">
        <v>1234</v>
      </c>
      <c r="B318" s="25" t="s">
        <v>21</v>
      </c>
      <c r="C318" s="24" t="s">
        <v>59</v>
      </c>
      <c r="D318" s="24" t="s">
        <v>1100</v>
      </c>
      <c r="E318" s="24" t="s">
        <v>1101</v>
      </c>
      <c r="F318" s="24" t="s">
        <v>1102</v>
      </c>
      <c r="G318" s="24" t="s">
        <v>1235</v>
      </c>
      <c r="H318" s="24" t="s">
        <v>1236</v>
      </c>
      <c r="I318" s="24">
        <v>1052</v>
      </c>
      <c r="J318" s="24">
        <v>102</v>
      </c>
      <c r="K318" s="24" t="s">
        <v>28</v>
      </c>
      <c r="L318" s="24" t="s">
        <v>1237</v>
      </c>
      <c r="M318" s="24" t="s">
        <v>1238</v>
      </c>
      <c r="N318" s="26" t="s">
        <v>30</v>
      </c>
      <c r="O318" s="26" t="s">
        <v>30</v>
      </c>
      <c r="P318" s="26" t="s">
        <v>30</v>
      </c>
      <c r="Q318" s="24">
        <v>29000</v>
      </c>
      <c r="R318" s="26" t="str">
        <f t="shared" si="4"/>
        <v>تقديم طلب</v>
      </c>
      <c r="S318" s="32" t="s">
        <v>4290</v>
      </c>
    </row>
    <row r="319" spans="1:19" s="23" customFormat="1" ht="90" x14ac:dyDescent="0.3">
      <c r="A319" s="24" t="s">
        <v>1239</v>
      </c>
      <c r="B319" s="25" t="s">
        <v>21</v>
      </c>
      <c r="C319" s="24" t="s">
        <v>59</v>
      </c>
      <c r="D319" s="24" t="s">
        <v>1100</v>
      </c>
      <c r="E319" s="24" t="s">
        <v>1168</v>
      </c>
      <c r="F319" s="24" t="s">
        <v>1240</v>
      </c>
      <c r="G319" s="24" t="s">
        <v>434</v>
      </c>
      <c r="H319" s="24" t="s">
        <v>1171</v>
      </c>
      <c r="I319" s="24">
        <v>673</v>
      </c>
      <c r="J319" s="24">
        <v>101</v>
      </c>
      <c r="K319" s="24" t="s">
        <v>28</v>
      </c>
      <c r="L319" s="24" t="s">
        <v>1241</v>
      </c>
      <c r="M319" s="24" t="s">
        <v>1242</v>
      </c>
      <c r="N319" s="26" t="s">
        <v>30</v>
      </c>
      <c r="O319" s="26" t="s">
        <v>30</v>
      </c>
      <c r="P319" s="26" t="str">
        <f>IF(NOT("https://maps.app.goo.gl/9HgMwvdaYCYtsHaMA" = ""), HYPERLINK("https://maps.app.goo.gl/9HgMwvdaYCYtsHaMA", "موقع"), "")</f>
        <v>موقع</v>
      </c>
      <c r="Q319" s="24">
        <v>29000</v>
      </c>
      <c r="R319" s="26" t="str">
        <f t="shared" si="4"/>
        <v>تقديم طلب</v>
      </c>
      <c r="S319" s="32" t="s">
        <v>4291</v>
      </c>
    </row>
    <row r="320" spans="1:19" s="23" customFormat="1" ht="90" x14ac:dyDescent="0.3">
      <c r="A320" s="24" t="s">
        <v>1226</v>
      </c>
      <c r="B320" s="25" t="s">
        <v>21</v>
      </c>
      <c r="C320" s="24" t="s">
        <v>59</v>
      </c>
      <c r="D320" s="24" t="s">
        <v>1100</v>
      </c>
      <c r="E320" s="24" t="s">
        <v>1162</v>
      </c>
      <c r="F320" s="24" t="s">
        <v>1183</v>
      </c>
      <c r="G320" s="24" t="s">
        <v>1184</v>
      </c>
      <c r="H320" s="24" t="s">
        <v>1185</v>
      </c>
      <c r="I320" s="24">
        <v>3969</v>
      </c>
      <c r="J320" s="24">
        <v>122</v>
      </c>
      <c r="K320" s="24" t="s">
        <v>73</v>
      </c>
      <c r="L320" s="24" t="s">
        <v>1227</v>
      </c>
      <c r="M320" s="24" t="s">
        <v>1228</v>
      </c>
      <c r="N320" s="26" t="s">
        <v>30</v>
      </c>
      <c r="O320" s="26" t="s">
        <v>30</v>
      </c>
      <c r="P320" s="26" t="str">
        <f>IF(NOT("https://maps.app.goo.gl/vori1xhEio1x7ks39" = ""), HYPERLINK("https://maps.app.goo.gl/vori1xhEio1x7ks39", "موقع"), "")</f>
        <v>موقع</v>
      </c>
      <c r="Q320" s="24">
        <v>28000</v>
      </c>
      <c r="R320" s="26" t="str">
        <f t="shared" si="4"/>
        <v>تقديم طلب</v>
      </c>
      <c r="S320" s="32" t="s">
        <v>4292</v>
      </c>
    </row>
    <row r="321" spans="1:19" s="23" customFormat="1" ht="90" x14ac:dyDescent="0.3">
      <c r="A321" s="24" t="s">
        <v>1211</v>
      </c>
      <c r="B321" s="25" t="s">
        <v>21</v>
      </c>
      <c r="C321" s="24" t="s">
        <v>59</v>
      </c>
      <c r="D321" s="24" t="s">
        <v>1100</v>
      </c>
      <c r="E321" s="24" t="s">
        <v>1143</v>
      </c>
      <c r="F321" s="24" t="s">
        <v>1175</v>
      </c>
      <c r="G321" s="24" t="s">
        <v>1176</v>
      </c>
      <c r="H321" s="24" t="s">
        <v>1177</v>
      </c>
      <c r="I321" s="24">
        <v>219</v>
      </c>
      <c r="J321" s="24">
        <v>133</v>
      </c>
      <c r="K321" s="24" t="s">
        <v>55</v>
      </c>
      <c r="L321" s="24" t="s">
        <v>1212</v>
      </c>
      <c r="M321" s="24" t="s">
        <v>1213</v>
      </c>
      <c r="N321" s="26" t="s">
        <v>30</v>
      </c>
      <c r="O321" s="26" t="s">
        <v>30</v>
      </c>
      <c r="P321" s="26" t="str">
        <f>IF(NOT("https://maps.app.goo.gl/4XnYQpA3F8XtgmkL6" = ""), HYPERLINK("https://maps.app.goo.gl/4XnYQpA3F8XtgmkL6", "موقع"), "")</f>
        <v>موقع</v>
      </c>
      <c r="Q321" s="24">
        <v>26000</v>
      </c>
      <c r="R321" s="26" t="str">
        <f t="shared" si="4"/>
        <v>تقديم طلب</v>
      </c>
      <c r="S321" s="32" t="s">
        <v>4293</v>
      </c>
    </row>
    <row r="322" spans="1:19" s="23" customFormat="1" ht="90" x14ac:dyDescent="0.3">
      <c r="A322" s="24" t="s">
        <v>1214</v>
      </c>
      <c r="B322" s="25" t="s">
        <v>21</v>
      </c>
      <c r="C322" s="24" t="s">
        <v>59</v>
      </c>
      <c r="D322" s="24" t="s">
        <v>1100</v>
      </c>
      <c r="E322" s="24" t="s">
        <v>1143</v>
      </c>
      <c r="F322" s="24" t="s">
        <v>1175</v>
      </c>
      <c r="G322" s="24" t="s">
        <v>1176</v>
      </c>
      <c r="H322" s="24" t="s">
        <v>1177</v>
      </c>
      <c r="I322" s="24">
        <v>219</v>
      </c>
      <c r="J322" s="24">
        <v>131</v>
      </c>
      <c r="K322" s="24" t="s">
        <v>55</v>
      </c>
      <c r="L322" s="24" t="s">
        <v>1215</v>
      </c>
      <c r="M322" s="24" t="s">
        <v>1216</v>
      </c>
      <c r="N322" s="26" t="s">
        <v>30</v>
      </c>
      <c r="O322" s="26" t="str">
        <f>IF(NOT("https://truemarkets3d.net/3d-virtual-tour/housingbank-realestate/phase3/aq-re-100118/index.html" = ""), HYPERLINK("https://truemarkets3d.net/3d-virtual-tour/housingbank-realestate/phase3/aq-re-100118/index.html", "جولة"), "")</f>
        <v>جولة</v>
      </c>
      <c r="P322" s="26" t="str">
        <f>IF(NOT("https://maps.app.goo.gl/kbtz4cZjB6puina27" = ""), HYPERLINK("https://maps.app.goo.gl/kbtz4cZjB6puina27", "موقع"), "")</f>
        <v>موقع</v>
      </c>
      <c r="Q322" s="24">
        <v>26000</v>
      </c>
      <c r="R322" s="26" t="str">
        <f t="shared" si="4"/>
        <v>تقديم طلب</v>
      </c>
      <c r="S322" s="32" t="s">
        <v>4294</v>
      </c>
    </row>
    <row r="323" spans="1:19" s="23" customFormat="1" ht="90" x14ac:dyDescent="0.3">
      <c r="A323" s="24" t="s">
        <v>1217</v>
      </c>
      <c r="B323" s="25" t="s">
        <v>21</v>
      </c>
      <c r="C323" s="24" t="s">
        <v>59</v>
      </c>
      <c r="D323" s="24" t="s">
        <v>1100</v>
      </c>
      <c r="E323" s="24" t="s">
        <v>1162</v>
      </c>
      <c r="F323" s="24" t="s">
        <v>1163</v>
      </c>
      <c r="G323" s="24" t="s">
        <v>1193</v>
      </c>
      <c r="H323" s="24" t="s">
        <v>1165</v>
      </c>
      <c r="I323" s="24">
        <v>3943</v>
      </c>
      <c r="J323" s="24">
        <v>101</v>
      </c>
      <c r="K323" s="24" t="s">
        <v>28</v>
      </c>
      <c r="L323" s="24" t="s">
        <v>131</v>
      </c>
      <c r="M323" s="24" t="s">
        <v>1218</v>
      </c>
      <c r="N323" s="26" t="s">
        <v>30</v>
      </c>
      <c r="O323" s="26" t="s">
        <v>30</v>
      </c>
      <c r="P323" s="26" t="str">
        <f>IF(NOT("https://maps.app.goo.gl/CVUY1QsTKfAiCceLA" = ""), HYPERLINK("https://maps.app.goo.gl/CVUY1QsTKfAiCceLA", "موقع"), "")</f>
        <v>موقع</v>
      </c>
      <c r="Q323" s="24">
        <v>26000</v>
      </c>
      <c r="R323" s="26" t="str">
        <f t="shared" si="4"/>
        <v>تقديم طلب</v>
      </c>
      <c r="S323" s="32" t="s">
        <v>4295</v>
      </c>
    </row>
    <row r="324" spans="1:19" s="23" customFormat="1" ht="90" x14ac:dyDescent="0.3">
      <c r="A324" s="24" t="s">
        <v>1219</v>
      </c>
      <c r="B324" s="25" t="s">
        <v>21</v>
      </c>
      <c r="C324" s="24" t="s">
        <v>59</v>
      </c>
      <c r="D324" s="24" t="s">
        <v>1100</v>
      </c>
      <c r="E324" s="24" t="s">
        <v>1143</v>
      </c>
      <c r="F324" s="24" t="s">
        <v>1153</v>
      </c>
      <c r="G324" s="24" t="s">
        <v>1154</v>
      </c>
      <c r="H324" s="24" t="s">
        <v>1209</v>
      </c>
      <c r="I324" s="24">
        <v>1532</v>
      </c>
      <c r="J324" s="24">
        <v>111</v>
      </c>
      <c r="K324" s="24" t="s">
        <v>43</v>
      </c>
      <c r="L324" s="24" t="s">
        <v>1156</v>
      </c>
      <c r="M324" s="24" t="s">
        <v>1220</v>
      </c>
      <c r="N324" s="26" t="s">
        <v>30</v>
      </c>
      <c r="O324" s="26" t="s">
        <v>30</v>
      </c>
      <c r="P324" s="26" t="str">
        <f>IF(NOT("https://maps.app.goo.gl/bf5suPh1y295eoDY6" = ""), HYPERLINK("https://maps.app.goo.gl/bf5suPh1y295eoDY6", "موقع"), "")</f>
        <v>موقع</v>
      </c>
      <c r="Q324" s="24">
        <v>26000</v>
      </c>
      <c r="R324" s="26" t="str">
        <f t="shared" si="4"/>
        <v>تقديم طلب</v>
      </c>
      <c r="S324" s="32" t="s">
        <v>4296</v>
      </c>
    </row>
    <row r="325" spans="1:19" s="23" customFormat="1" ht="90" x14ac:dyDescent="0.3">
      <c r="A325" s="24" t="s">
        <v>1221</v>
      </c>
      <c r="B325" s="25" t="s">
        <v>21</v>
      </c>
      <c r="C325" s="24" t="s">
        <v>59</v>
      </c>
      <c r="D325" s="24" t="s">
        <v>1100</v>
      </c>
      <c r="E325" s="24" t="s">
        <v>1162</v>
      </c>
      <c r="F325" s="24" t="s">
        <v>1163</v>
      </c>
      <c r="G325" s="24" t="s">
        <v>1193</v>
      </c>
      <c r="H325" s="24" t="s">
        <v>1165</v>
      </c>
      <c r="I325" s="24">
        <v>3943</v>
      </c>
      <c r="J325" s="24">
        <v>102</v>
      </c>
      <c r="K325" s="24" t="s">
        <v>28</v>
      </c>
      <c r="L325" s="24" t="s">
        <v>131</v>
      </c>
      <c r="M325" s="24" t="s">
        <v>1218</v>
      </c>
      <c r="N325" s="26" t="s">
        <v>30</v>
      </c>
      <c r="O325" s="26" t="s">
        <v>30</v>
      </c>
      <c r="P325" s="26" t="str">
        <f>IF(NOT("https://maps.app.goo.gl/CVUY1QsTKfAiCceLA" = ""), HYPERLINK("https://maps.app.goo.gl/CVUY1QsTKfAiCceLA", "موقع"), "")</f>
        <v>موقع</v>
      </c>
      <c r="Q325" s="24">
        <v>26000</v>
      </c>
      <c r="R325" s="26" t="str">
        <f t="shared" ref="R325:R387" si="5">HYPERLINK(S325,"تقديم طلب")</f>
        <v>تقديم طلب</v>
      </c>
      <c r="S325" s="32" t="s">
        <v>4297</v>
      </c>
    </row>
    <row r="326" spans="1:19" s="23" customFormat="1" ht="90" x14ac:dyDescent="0.3">
      <c r="A326" s="24" t="s">
        <v>1222</v>
      </c>
      <c r="B326" s="25" t="s">
        <v>21</v>
      </c>
      <c r="C326" s="24" t="s">
        <v>59</v>
      </c>
      <c r="D326" s="24" t="s">
        <v>1100</v>
      </c>
      <c r="E326" s="24" t="s">
        <v>1143</v>
      </c>
      <c r="F326" s="24" t="s">
        <v>1175</v>
      </c>
      <c r="G326" s="24" t="s">
        <v>1223</v>
      </c>
      <c r="H326" s="24" t="s">
        <v>1177</v>
      </c>
      <c r="I326" s="24">
        <v>100</v>
      </c>
      <c r="J326" s="24">
        <v>124</v>
      </c>
      <c r="K326" s="24" t="s">
        <v>73</v>
      </c>
      <c r="L326" s="24" t="s">
        <v>1224</v>
      </c>
      <c r="M326" s="24" t="s">
        <v>1225</v>
      </c>
      <c r="N326" s="26" t="str">
        <f>IF(NOT("https://youtu.be/tmGy33dVEJs" = ""), HYPERLINK("https://youtu.be/tmGy33dVEJs", "فيديو"), "")</f>
        <v>فيديو</v>
      </c>
      <c r="O326" s="26" t="str">
        <f>IF(NOT("https://truemarkets3d.net/3d-virtual-tour/housingbank-realestate/phase3/aq-re-100480/index.html" = ""), HYPERLINK("https://truemarkets3d.net/3d-virtual-tour/housingbank-realestate/phase3/aq-re-100480/index.html", "جولة"), "")</f>
        <v>جولة</v>
      </c>
      <c r="P326" s="26" t="str">
        <f>IF(NOT("https://maps.app.goo.gl/Y9TmiZM2eCzjn8H49" = ""), HYPERLINK("https://maps.app.goo.gl/Y9TmiZM2eCzjn8H49", "موقع"), "")</f>
        <v>موقع</v>
      </c>
      <c r="Q326" s="24">
        <v>26000</v>
      </c>
      <c r="R326" s="26" t="str">
        <f t="shared" si="5"/>
        <v>تقديم طلب</v>
      </c>
      <c r="S326" s="32" t="s">
        <v>4298</v>
      </c>
    </row>
    <row r="327" spans="1:19" s="23" customFormat="1" ht="90" x14ac:dyDescent="0.3">
      <c r="A327" s="24" t="s">
        <v>1203</v>
      </c>
      <c r="B327" s="25" t="s">
        <v>21</v>
      </c>
      <c r="C327" s="24" t="s">
        <v>59</v>
      </c>
      <c r="D327" s="24" t="s">
        <v>1100</v>
      </c>
      <c r="E327" s="24" t="s">
        <v>1162</v>
      </c>
      <c r="F327" s="24" t="s">
        <v>1163</v>
      </c>
      <c r="G327" s="24" t="s">
        <v>1193</v>
      </c>
      <c r="H327" s="24" t="s">
        <v>1165</v>
      </c>
      <c r="I327" s="24">
        <v>6220</v>
      </c>
      <c r="J327" s="24">
        <v>116</v>
      </c>
      <c r="K327" s="24" t="s">
        <v>43</v>
      </c>
      <c r="L327" s="24" t="s">
        <v>131</v>
      </c>
      <c r="M327" s="24" t="s">
        <v>1204</v>
      </c>
      <c r="N327" s="26" t="s">
        <v>30</v>
      </c>
      <c r="O327" s="26" t="s">
        <v>30</v>
      </c>
      <c r="P327" s="26" t="str">
        <f>IF(NOT("https://maps.app.goo.gl/aTx7pKjbh17iq25x8" = ""), HYPERLINK("https://maps.app.goo.gl/aTx7pKjbh17iq25x8", "موقع"), "")</f>
        <v>موقع</v>
      </c>
      <c r="Q327" s="24">
        <v>25000</v>
      </c>
      <c r="R327" s="26" t="str">
        <f t="shared" si="5"/>
        <v>تقديم طلب</v>
      </c>
      <c r="S327" s="32" t="s">
        <v>4299</v>
      </c>
    </row>
    <row r="328" spans="1:19" s="23" customFormat="1" ht="90" x14ac:dyDescent="0.3">
      <c r="A328" s="24" t="s">
        <v>1205</v>
      </c>
      <c r="B328" s="25" t="s">
        <v>21</v>
      </c>
      <c r="C328" s="24" t="s">
        <v>59</v>
      </c>
      <c r="D328" s="24" t="s">
        <v>1100</v>
      </c>
      <c r="E328" s="24" t="s">
        <v>1143</v>
      </c>
      <c r="F328" s="24" t="s">
        <v>1175</v>
      </c>
      <c r="G328" s="24" t="s">
        <v>1176</v>
      </c>
      <c r="H328" s="24" t="s">
        <v>1177</v>
      </c>
      <c r="I328" s="24">
        <v>281</v>
      </c>
      <c r="J328" s="24">
        <v>124</v>
      </c>
      <c r="K328" s="24" t="s">
        <v>73</v>
      </c>
      <c r="L328" s="24" t="s">
        <v>1206</v>
      </c>
      <c r="M328" s="24" t="s">
        <v>1207</v>
      </c>
      <c r="N328" s="26" t="str">
        <f>IF(NOT("https://youtu.be/ubFjmbx5NEI" = ""), HYPERLINK("https://youtu.be/ubFjmbx5NEI", "فيديو"), "")</f>
        <v>فيديو</v>
      </c>
      <c r="O328" s="26" t="str">
        <f>IF(NOT("https://truemarkets3d.net/3d-virtual-tour/housingbank-realestate/phase3/aq-re-100514/index.html" = ""), HYPERLINK("https://truemarkets3d.net/3d-virtual-tour/housingbank-realestate/phase3/aq-re-100514/index.html", "جولة"), "")</f>
        <v>جولة</v>
      </c>
      <c r="P328" s="26" t="str">
        <f>IF(NOT("https://maps.app.goo.gl/5sc3NScLkSbgC8vMA" = ""), HYPERLINK("https://maps.app.goo.gl/5sc3NScLkSbgC8vMA", "موقع"), "")</f>
        <v>موقع</v>
      </c>
      <c r="Q328" s="24">
        <v>25000</v>
      </c>
      <c r="R328" s="26" t="str">
        <f t="shared" si="5"/>
        <v>تقديم طلب</v>
      </c>
      <c r="S328" s="32" t="s">
        <v>4300</v>
      </c>
    </row>
    <row r="329" spans="1:19" s="23" customFormat="1" ht="90" x14ac:dyDescent="0.3">
      <c r="A329" s="24" t="s">
        <v>1208</v>
      </c>
      <c r="B329" s="25" t="s">
        <v>21</v>
      </c>
      <c r="C329" s="24" t="s">
        <v>59</v>
      </c>
      <c r="D329" s="24" t="s">
        <v>1100</v>
      </c>
      <c r="E329" s="24" t="s">
        <v>1143</v>
      </c>
      <c r="F329" s="24" t="s">
        <v>1153</v>
      </c>
      <c r="G329" s="24" t="s">
        <v>1154</v>
      </c>
      <c r="H329" s="24" t="s">
        <v>1209</v>
      </c>
      <c r="I329" s="24">
        <v>1532</v>
      </c>
      <c r="J329" s="24">
        <v>112</v>
      </c>
      <c r="K329" s="24" t="s">
        <v>43</v>
      </c>
      <c r="L329" s="24" t="s">
        <v>1159</v>
      </c>
      <c r="M329" s="24" t="s">
        <v>1210</v>
      </c>
      <c r="N329" s="26" t="s">
        <v>30</v>
      </c>
      <c r="O329" s="26" t="s">
        <v>30</v>
      </c>
      <c r="P329" s="26" t="str">
        <f>IF(NOT("https://maps.app.goo.gl/ERYJaf2se3aibHBUA" = ""), HYPERLINK("https://maps.app.goo.gl/ERYJaf2se3aibHBUA", "موقع"), "")</f>
        <v>موقع</v>
      </c>
      <c r="Q329" s="24">
        <v>25000</v>
      </c>
      <c r="R329" s="26" t="str">
        <f t="shared" si="5"/>
        <v>تقديم طلب</v>
      </c>
      <c r="S329" s="32" t="s">
        <v>4301</v>
      </c>
    </row>
    <row r="330" spans="1:19" s="23" customFormat="1" ht="90" x14ac:dyDescent="0.3">
      <c r="A330" s="24" t="s">
        <v>1200</v>
      </c>
      <c r="B330" s="25" t="s">
        <v>21</v>
      </c>
      <c r="C330" s="24" t="s">
        <v>59</v>
      </c>
      <c r="D330" s="24" t="s">
        <v>1100</v>
      </c>
      <c r="E330" s="24" t="s">
        <v>1143</v>
      </c>
      <c r="F330" s="24" t="s">
        <v>1175</v>
      </c>
      <c r="G330" s="24" t="s">
        <v>1201</v>
      </c>
      <c r="H330" s="24" t="s">
        <v>1177</v>
      </c>
      <c r="I330" s="24">
        <v>366</v>
      </c>
      <c r="J330" s="24">
        <v>101</v>
      </c>
      <c r="K330" s="24" t="s">
        <v>28</v>
      </c>
      <c r="L330" s="24" t="s">
        <v>1032</v>
      </c>
      <c r="M330" s="24" t="s">
        <v>1202</v>
      </c>
      <c r="N330" s="26" t="s">
        <v>30</v>
      </c>
      <c r="O330" s="26" t="str">
        <f>IF(NOT("https://truemarkets3d.net/3d-virtual-tour/housingbank-realestate/phase3/aq-re-100344/index.html" = ""), HYPERLINK("https://truemarkets3d.net/3d-virtual-tour/housingbank-realestate/phase3/aq-re-100344/index.html", "جولة"), "")</f>
        <v>جولة</v>
      </c>
      <c r="P330" s="26" t="str">
        <f>IF(NOT("https://maps.app.goo.gl/ERYJaf2se3aibHBUA" = ""), HYPERLINK("https://maps.app.goo.gl/ERYJaf2se3aibHBUA", "موقع"), "")</f>
        <v>موقع</v>
      </c>
      <c r="Q330" s="24">
        <v>24000</v>
      </c>
      <c r="R330" s="26" t="str">
        <f t="shared" si="5"/>
        <v>تقديم طلب</v>
      </c>
      <c r="S330" s="32" t="s">
        <v>4302</v>
      </c>
    </row>
    <row r="331" spans="1:19" s="23" customFormat="1" ht="90" x14ac:dyDescent="0.3">
      <c r="A331" s="24" t="s">
        <v>1192</v>
      </c>
      <c r="B331" s="25" t="s">
        <v>21</v>
      </c>
      <c r="C331" s="24" t="s">
        <v>59</v>
      </c>
      <c r="D331" s="24" t="s">
        <v>1100</v>
      </c>
      <c r="E331" s="24" t="s">
        <v>1162</v>
      </c>
      <c r="F331" s="24" t="s">
        <v>1163</v>
      </c>
      <c r="G331" s="24" t="s">
        <v>1193</v>
      </c>
      <c r="H331" s="24" t="s">
        <v>1165</v>
      </c>
      <c r="I331" s="24">
        <v>3943</v>
      </c>
      <c r="J331" s="24">
        <v>121</v>
      </c>
      <c r="K331" s="24" t="s">
        <v>73</v>
      </c>
      <c r="L331" s="24" t="s">
        <v>131</v>
      </c>
      <c r="M331" s="24" t="s">
        <v>1194</v>
      </c>
      <c r="N331" s="26" t="s">
        <v>30</v>
      </c>
      <c r="O331" s="26" t="s">
        <v>30</v>
      </c>
      <c r="P331" s="26" t="str">
        <f>IF(NOT("https://maps.app.goo.gl/CVUY1QsTKfAiCceLA" = ""), HYPERLINK("https://maps.app.goo.gl/CVUY1QsTKfAiCceLA", "موقع"), "")</f>
        <v>موقع</v>
      </c>
      <c r="Q331" s="24">
        <v>23000</v>
      </c>
      <c r="R331" s="26" t="str">
        <f t="shared" si="5"/>
        <v>تقديم طلب</v>
      </c>
      <c r="S331" s="32" t="s">
        <v>4303</v>
      </c>
    </row>
    <row r="332" spans="1:19" s="23" customFormat="1" ht="90" x14ac:dyDescent="0.3">
      <c r="A332" s="24" t="s">
        <v>1195</v>
      </c>
      <c r="B332" s="25" t="s">
        <v>21</v>
      </c>
      <c r="C332" s="24" t="s">
        <v>59</v>
      </c>
      <c r="D332" s="24" t="s">
        <v>1100</v>
      </c>
      <c r="E332" s="24" t="s">
        <v>1162</v>
      </c>
      <c r="F332" s="24" t="s">
        <v>1163</v>
      </c>
      <c r="G332" s="24" t="s">
        <v>1193</v>
      </c>
      <c r="H332" s="24" t="s">
        <v>1165</v>
      </c>
      <c r="I332" s="24">
        <v>3943</v>
      </c>
      <c r="J332" s="24">
        <v>122</v>
      </c>
      <c r="K332" s="24" t="s">
        <v>73</v>
      </c>
      <c r="L332" s="24" t="s">
        <v>131</v>
      </c>
      <c r="M332" s="24" t="s">
        <v>1194</v>
      </c>
      <c r="N332" s="26" t="s">
        <v>30</v>
      </c>
      <c r="O332" s="26" t="s">
        <v>30</v>
      </c>
      <c r="P332" s="26" t="s">
        <v>30</v>
      </c>
      <c r="Q332" s="24">
        <v>23000</v>
      </c>
      <c r="R332" s="26" t="str">
        <f t="shared" si="5"/>
        <v>تقديم طلب</v>
      </c>
      <c r="S332" s="32" t="s">
        <v>4304</v>
      </c>
    </row>
    <row r="333" spans="1:19" s="23" customFormat="1" ht="90" x14ac:dyDescent="0.3">
      <c r="A333" s="24" t="s">
        <v>1196</v>
      </c>
      <c r="B333" s="25" t="s">
        <v>21</v>
      </c>
      <c r="C333" s="24" t="s">
        <v>59</v>
      </c>
      <c r="D333" s="24" t="s">
        <v>1100</v>
      </c>
      <c r="E333" s="24" t="s">
        <v>1143</v>
      </c>
      <c r="F333" s="24" t="s">
        <v>1175</v>
      </c>
      <c r="G333" s="24" t="s">
        <v>1176</v>
      </c>
      <c r="H333" s="24" t="s">
        <v>1177</v>
      </c>
      <c r="I333" s="24">
        <v>308</v>
      </c>
      <c r="J333" s="24">
        <v>111</v>
      </c>
      <c r="K333" s="24" t="s">
        <v>43</v>
      </c>
      <c r="L333" s="24" t="s">
        <v>802</v>
      </c>
      <c r="M333" s="24" t="s">
        <v>1197</v>
      </c>
      <c r="N333" s="26" t="s">
        <v>30</v>
      </c>
      <c r="O333" s="26" t="str">
        <f>IF(NOT("https://truemarkets3d.net/3d-virtual-tour/housingbank-realestate/phase3/aq-re-100366/index.html" = ""), HYPERLINK("https://truemarkets3d.net/3d-virtual-tour/housingbank-realestate/phase3/aq-re-100366/index.html", "جولة"), "")</f>
        <v>جولة</v>
      </c>
      <c r="P333" s="26" t="s">
        <v>30</v>
      </c>
      <c r="Q333" s="24">
        <v>23000</v>
      </c>
      <c r="R333" s="26" t="str">
        <f t="shared" si="5"/>
        <v>تقديم طلب</v>
      </c>
      <c r="S333" s="32" t="s">
        <v>4305</v>
      </c>
    </row>
    <row r="334" spans="1:19" s="23" customFormat="1" ht="90" x14ac:dyDescent="0.3">
      <c r="A334" s="24" t="s">
        <v>1198</v>
      </c>
      <c r="B334" s="25" t="s">
        <v>21</v>
      </c>
      <c r="C334" s="24" t="s">
        <v>59</v>
      </c>
      <c r="D334" s="24" t="s">
        <v>1100</v>
      </c>
      <c r="E334" s="24" t="s">
        <v>1168</v>
      </c>
      <c r="F334" s="24" t="s">
        <v>1169</v>
      </c>
      <c r="G334" s="24" t="s">
        <v>1170</v>
      </c>
      <c r="H334" s="24" t="s">
        <v>1171</v>
      </c>
      <c r="I334" s="24">
        <v>896</v>
      </c>
      <c r="J334" s="24">
        <v>-101</v>
      </c>
      <c r="K334" s="24" t="s">
        <v>33</v>
      </c>
      <c r="L334" s="24" t="s">
        <v>802</v>
      </c>
      <c r="M334" s="24" t="s">
        <v>1199</v>
      </c>
      <c r="N334" s="26" t="s">
        <v>30</v>
      </c>
      <c r="O334" s="26" t="s">
        <v>30</v>
      </c>
      <c r="P334" s="26" t="str">
        <f>IF(NOT("https://maps.app.goo.gl/Ex28ztdotoUbceN18" = ""), HYPERLINK("https://maps.app.goo.gl/Ex28ztdotoUbceN18", "موقع"), "")</f>
        <v>موقع</v>
      </c>
      <c r="Q334" s="24">
        <v>23000</v>
      </c>
      <c r="R334" s="26" t="str">
        <f t="shared" si="5"/>
        <v>تقديم طلب</v>
      </c>
      <c r="S334" s="32" t="s">
        <v>4306</v>
      </c>
    </row>
    <row r="335" spans="1:19" s="23" customFormat="1" ht="90" x14ac:dyDescent="0.3">
      <c r="A335" s="24" t="s">
        <v>1188</v>
      </c>
      <c r="B335" s="25" t="s">
        <v>21</v>
      </c>
      <c r="C335" s="24" t="s">
        <v>59</v>
      </c>
      <c r="D335" s="24" t="s">
        <v>1100</v>
      </c>
      <c r="E335" s="24" t="s">
        <v>1162</v>
      </c>
      <c r="F335" s="24" t="s">
        <v>1163</v>
      </c>
      <c r="G335" s="24" t="s">
        <v>1189</v>
      </c>
      <c r="H335" s="24" t="s">
        <v>1190</v>
      </c>
      <c r="I335" s="24">
        <v>3266</v>
      </c>
      <c r="J335" s="24">
        <v>-814</v>
      </c>
      <c r="K335" s="24" t="s">
        <v>33</v>
      </c>
      <c r="L335" s="24" t="s">
        <v>282</v>
      </c>
      <c r="M335" s="24" t="s">
        <v>1191</v>
      </c>
      <c r="N335" s="26" t="s">
        <v>30</v>
      </c>
      <c r="O335" s="26" t="s">
        <v>30</v>
      </c>
      <c r="P335" s="26" t="str">
        <f>IF(NOT("https://maps.app.goo.gl/7T7TVpSx9C8LK6M58" = ""), HYPERLINK("https://maps.app.goo.gl/7T7TVpSx9C8LK6M58", "موقع"), "")</f>
        <v>موقع</v>
      </c>
      <c r="Q335" s="24">
        <v>22000</v>
      </c>
      <c r="R335" s="26" t="str">
        <f t="shared" si="5"/>
        <v>تقديم طلب</v>
      </c>
      <c r="S335" s="32" t="s">
        <v>4307</v>
      </c>
    </row>
    <row r="336" spans="1:19" s="23" customFormat="1" ht="120" x14ac:dyDescent="0.3">
      <c r="A336" s="24" t="s">
        <v>1180</v>
      </c>
      <c r="B336" s="25" t="s">
        <v>21</v>
      </c>
      <c r="C336" s="24" t="s">
        <v>59</v>
      </c>
      <c r="D336" s="24" t="s">
        <v>1100</v>
      </c>
      <c r="E336" s="24" t="s">
        <v>1143</v>
      </c>
      <c r="F336" s="24" t="s">
        <v>1175</v>
      </c>
      <c r="G336" s="24" t="s">
        <v>1176</v>
      </c>
      <c r="H336" s="24" t="s">
        <v>1177</v>
      </c>
      <c r="I336" s="24">
        <v>154</v>
      </c>
      <c r="J336" s="24">
        <v>123</v>
      </c>
      <c r="K336" s="24" t="s">
        <v>73</v>
      </c>
      <c r="L336" s="24" t="s">
        <v>771</v>
      </c>
      <c r="M336" s="24" t="s">
        <v>1181</v>
      </c>
      <c r="N336" s="26" t="s">
        <v>30</v>
      </c>
      <c r="O336" s="26" t="str">
        <f>IF(NOT("https://truemarkets3d.net/3d-virtual-tour/housingbank-realestate/phase3/aq-re-100102/index.html" = ""), HYPERLINK("https://truemarkets3d.net/3d-virtual-tour/housingbank-realestate/phase3/aq-re-100102/index.html", "جولة"), "")</f>
        <v>جولة</v>
      </c>
      <c r="P336" s="26" t="str">
        <f>IF(NOT("https://maps.app.goo.gl/18D643vFWhNA1VvUA" = ""), HYPERLINK("https://maps.app.goo.gl/18D643vFWhNA1VvUA", "موقع"), "")</f>
        <v>موقع</v>
      </c>
      <c r="Q336" s="24">
        <v>21000</v>
      </c>
      <c r="R336" s="26" t="str">
        <f t="shared" si="5"/>
        <v>تقديم طلب</v>
      </c>
      <c r="S336" s="32" t="s">
        <v>4308</v>
      </c>
    </row>
    <row r="337" spans="1:19" s="23" customFormat="1" ht="90" x14ac:dyDescent="0.3">
      <c r="A337" s="24" t="s">
        <v>1182</v>
      </c>
      <c r="B337" s="25" t="s">
        <v>21</v>
      </c>
      <c r="C337" s="24" t="s">
        <v>59</v>
      </c>
      <c r="D337" s="24" t="s">
        <v>1100</v>
      </c>
      <c r="E337" s="24" t="s">
        <v>1162</v>
      </c>
      <c r="F337" s="24" t="s">
        <v>1183</v>
      </c>
      <c r="G337" s="24" t="s">
        <v>1184</v>
      </c>
      <c r="H337" s="24" t="s">
        <v>1185</v>
      </c>
      <c r="I337" s="24">
        <v>1152</v>
      </c>
      <c r="J337" s="24">
        <v>111</v>
      </c>
      <c r="K337" s="24" t="s">
        <v>43</v>
      </c>
      <c r="L337" s="24" t="s">
        <v>1186</v>
      </c>
      <c r="M337" s="24" t="s">
        <v>1187</v>
      </c>
      <c r="N337" s="26" t="s">
        <v>30</v>
      </c>
      <c r="O337" s="26" t="s">
        <v>30</v>
      </c>
      <c r="P337" s="26" t="s">
        <v>30</v>
      </c>
      <c r="Q337" s="24">
        <v>21000</v>
      </c>
      <c r="R337" s="26" t="str">
        <f t="shared" si="5"/>
        <v>تقديم طلب</v>
      </c>
      <c r="S337" s="32" t="s">
        <v>4309</v>
      </c>
    </row>
    <row r="338" spans="1:19" s="23" customFormat="1" ht="105" x14ac:dyDescent="0.3">
      <c r="A338" s="24" t="s">
        <v>1174</v>
      </c>
      <c r="B338" s="25" t="s">
        <v>21</v>
      </c>
      <c r="C338" s="24" t="s">
        <v>59</v>
      </c>
      <c r="D338" s="24" t="s">
        <v>1100</v>
      </c>
      <c r="E338" s="24" t="s">
        <v>1143</v>
      </c>
      <c r="F338" s="24" t="s">
        <v>1175</v>
      </c>
      <c r="G338" s="24" t="s">
        <v>1176</v>
      </c>
      <c r="H338" s="24" t="s">
        <v>1177</v>
      </c>
      <c r="I338" s="24">
        <v>257</v>
      </c>
      <c r="J338" s="24">
        <v>-101</v>
      </c>
      <c r="K338" s="24" t="s">
        <v>28</v>
      </c>
      <c r="L338" s="24" t="s">
        <v>1178</v>
      </c>
      <c r="M338" s="24" t="s">
        <v>1179</v>
      </c>
      <c r="N338" s="26" t="str">
        <f>IF(NOT("https://youtu.be/ZHZnvxhpPdU" = ""), HYPERLINK("https://youtu.be/ZHZnvxhpPdU", "فيديو"), "")</f>
        <v>فيديو</v>
      </c>
      <c r="O338" s="26" t="str">
        <f>IF(NOT("https://truemarkets3d.net/3d-virtual-tour/housingbank-realestate/phase3/aq-re-100538/index.html" = ""), HYPERLINK("https://truemarkets3d.net/3d-virtual-tour/housingbank-realestate/phase3/aq-re-100538/index.html", "جولة"), "")</f>
        <v>جولة</v>
      </c>
      <c r="P338" s="26" t="str">
        <f>IF(NOT("https://maps.app.goo.gl/gJgkxjtdkCa7kW5G6" = ""), HYPERLINK("https://maps.app.goo.gl/gJgkxjtdkCa7kW5G6", "موقع"), "")</f>
        <v>موقع</v>
      </c>
      <c r="Q338" s="24">
        <v>20000</v>
      </c>
      <c r="R338" s="26" t="str">
        <f t="shared" si="5"/>
        <v>تقديم طلب</v>
      </c>
      <c r="S338" s="32" t="s">
        <v>4310</v>
      </c>
    </row>
    <row r="339" spans="1:19" s="23" customFormat="1" ht="90" x14ac:dyDescent="0.3">
      <c r="A339" s="24" t="s">
        <v>1167</v>
      </c>
      <c r="B339" s="25" t="s">
        <v>21</v>
      </c>
      <c r="C339" s="24" t="s">
        <v>59</v>
      </c>
      <c r="D339" s="24" t="s">
        <v>1100</v>
      </c>
      <c r="E339" s="24" t="s">
        <v>1168</v>
      </c>
      <c r="F339" s="24" t="s">
        <v>1169</v>
      </c>
      <c r="G339" s="24" t="s">
        <v>1170</v>
      </c>
      <c r="H339" s="24" t="s">
        <v>1171</v>
      </c>
      <c r="I339" s="24">
        <v>827</v>
      </c>
      <c r="J339" s="24">
        <v>104</v>
      </c>
      <c r="K339" s="24" t="s">
        <v>28</v>
      </c>
      <c r="L339" s="24" t="s">
        <v>1172</v>
      </c>
      <c r="M339" s="24" t="s">
        <v>1173</v>
      </c>
      <c r="N339" s="26" t="s">
        <v>30</v>
      </c>
      <c r="O339" s="26" t="s">
        <v>30</v>
      </c>
      <c r="P339" s="26" t="str">
        <f>IF(NOT("https://maps.app.goo.gl/bWeoxqp64j34EsDz9" = ""), HYPERLINK("https://maps.app.goo.gl/bWeoxqp64j34EsDz9", "موقع"), "")</f>
        <v>موقع</v>
      </c>
      <c r="Q339" s="24">
        <v>19000</v>
      </c>
      <c r="R339" s="26" t="str">
        <f t="shared" si="5"/>
        <v>تقديم طلب</v>
      </c>
      <c r="S339" s="32" t="s">
        <v>4311</v>
      </c>
    </row>
    <row r="340" spans="1:19" s="23" customFormat="1" ht="90" x14ac:dyDescent="0.3">
      <c r="A340" s="24" t="s">
        <v>1161</v>
      </c>
      <c r="B340" s="25" t="s">
        <v>21</v>
      </c>
      <c r="C340" s="24" t="s">
        <v>59</v>
      </c>
      <c r="D340" s="24" t="s">
        <v>1100</v>
      </c>
      <c r="E340" s="24" t="s">
        <v>1162</v>
      </c>
      <c r="F340" s="24" t="s">
        <v>1163</v>
      </c>
      <c r="G340" s="24" t="s">
        <v>1164</v>
      </c>
      <c r="H340" s="24" t="s">
        <v>1165</v>
      </c>
      <c r="I340" s="24">
        <v>960</v>
      </c>
      <c r="J340" s="24">
        <v>-103</v>
      </c>
      <c r="K340" s="24" t="s">
        <v>33</v>
      </c>
      <c r="L340" s="24" t="s">
        <v>757</v>
      </c>
      <c r="M340" s="24" t="s">
        <v>1166</v>
      </c>
      <c r="N340" s="26" t="s">
        <v>30</v>
      </c>
      <c r="O340" s="26" t="s">
        <v>30</v>
      </c>
      <c r="P340" s="26" t="str">
        <f>IF(NOT("https://maps.app.goo.gl/VBweDiHNgF3JENxcA" = ""), HYPERLINK("https://maps.app.goo.gl/VBweDiHNgF3JENxcA", "موقع"), "")</f>
        <v>موقع</v>
      </c>
      <c r="Q340" s="24">
        <v>18000</v>
      </c>
      <c r="R340" s="26" t="str">
        <f t="shared" si="5"/>
        <v>تقديم طلب</v>
      </c>
      <c r="S340" s="32" t="s">
        <v>4312</v>
      </c>
    </row>
    <row r="341" spans="1:19" s="23" customFormat="1" ht="90" x14ac:dyDescent="0.3">
      <c r="A341" s="24" t="s">
        <v>1158</v>
      </c>
      <c r="B341" s="25" t="s">
        <v>21</v>
      </c>
      <c r="C341" s="24" t="s">
        <v>59</v>
      </c>
      <c r="D341" s="24" t="s">
        <v>1100</v>
      </c>
      <c r="E341" s="24" t="s">
        <v>1143</v>
      </c>
      <c r="F341" s="24" t="s">
        <v>1153</v>
      </c>
      <c r="G341" s="24" t="s">
        <v>1154</v>
      </c>
      <c r="H341" s="24" t="s">
        <v>1155</v>
      </c>
      <c r="I341" s="24">
        <v>1532</v>
      </c>
      <c r="J341" s="24">
        <v>122</v>
      </c>
      <c r="K341" s="24" t="s">
        <v>43</v>
      </c>
      <c r="L341" s="24" t="s">
        <v>1159</v>
      </c>
      <c r="M341" s="24" t="s">
        <v>1160</v>
      </c>
      <c r="N341" s="26" t="s">
        <v>30</v>
      </c>
      <c r="O341" s="26" t="s">
        <v>30</v>
      </c>
      <c r="P341" s="26" t="str">
        <f>IF(NOT("https://maps.app.goo.gl/6LsgNLXpyWTDtyjo8" = ""), HYPERLINK("https://maps.app.goo.gl/6LsgNLXpyWTDtyjo8", "موقع"), "")</f>
        <v>موقع</v>
      </c>
      <c r="Q341" s="24">
        <v>13000</v>
      </c>
      <c r="R341" s="26" t="str">
        <f t="shared" si="5"/>
        <v>تقديم طلب</v>
      </c>
      <c r="S341" s="32" t="s">
        <v>4313</v>
      </c>
    </row>
    <row r="342" spans="1:19" s="23" customFormat="1" ht="90" x14ac:dyDescent="0.3">
      <c r="A342" s="24" t="s">
        <v>1152</v>
      </c>
      <c r="B342" s="25" t="s">
        <v>21</v>
      </c>
      <c r="C342" s="24" t="s">
        <v>59</v>
      </c>
      <c r="D342" s="24" t="s">
        <v>1100</v>
      </c>
      <c r="E342" s="24" t="s">
        <v>1143</v>
      </c>
      <c r="F342" s="24" t="s">
        <v>1153</v>
      </c>
      <c r="G342" s="24" t="s">
        <v>1154</v>
      </c>
      <c r="H342" s="24" t="s">
        <v>1155</v>
      </c>
      <c r="I342" s="24">
        <v>1532</v>
      </c>
      <c r="J342" s="24">
        <v>121</v>
      </c>
      <c r="K342" s="24" t="s">
        <v>73</v>
      </c>
      <c r="L342" s="24" t="s">
        <v>1156</v>
      </c>
      <c r="M342" s="24" t="s">
        <v>1157</v>
      </c>
      <c r="N342" s="26" t="s">
        <v>30</v>
      </c>
      <c r="O342" s="26" t="s">
        <v>30</v>
      </c>
      <c r="P342" s="26" t="str">
        <f>IF(NOT("https://maps.app.goo.gl/Ju8A5ZVyn289JNpM6" = ""), HYPERLINK("https://maps.app.goo.gl/Ju8A5ZVyn289JNpM6", "موقع"), "")</f>
        <v>موقع</v>
      </c>
      <c r="Q342" s="24">
        <v>8000</v>
      </c>
      <c r="R342" s="26" t="str">
        <f t="shared" si="5"/>
        <v>تقديم طلب</v>
      </c>
      <c r="S342" s="32" t="s">
        <v>4314</v>
      </c>
    </row>
    <row r="343" spans="1:19" s="23" customFormat="1" ht="90" x14ac:dyDescent="0.3">
      <c r="A343" s="24" t="s">
        <v>1763</v>
      </c>
      <c r="B343" s="25" t="s">
        <v>21</v>
      </c>
      <c r="C343" s="24" t="s">
        <v>1764</v>
      </c>
      <c r="D343" s="24" t="s">
        <v>1100</v>
      </c>
      <c r="E343" s="24" t="s">
        <v>1263</v>
      </c>
      <c r="F343" s="24" t="s">
        <v>1381</v>
      </c>
      <c r="G343" s="24" t="s">
        <v>1382</v>
      </c>
      <c r="H343" s="24" t="s">
        <v>1383</v>
      </c>
      <c r="I343" s="24">
        <v>1394</v>
      </c>
      <c r="J343" s="24">
        <v>121</v>
      </c>
      <c r="K343" s="24" t="s">
        <v>73</v>
      </c>
      <c r="L343" s="24" t="s">
        <v>92</v>
      </c>
      <c r="M343" s="24" t="s">
        <v>1765</v>
      </c>
      <c r="N343" s="26" t="str">
        <f>IF(NOT("https://youtu.be/gbi_PajVXgo" = ""), HYPERLINK("https://youtu.be/gbi_PajVXgo", "فيديو"), "")</f>
        <v>فيديو</v>
      </c>
      <c r="O343" s="26" t="str">
        <f>IF(NOT("https://truemarkets3d.net/3d-virtual-tour/housingbank-realestate/phase3/aq-re-100536/index.html" = ""), HYPERLINK("https://truemarkets3d.net/3d-virtual-tour/housingbank-realestate/phase3/aq-re-100536/index.html", "جولة"), "")</f>
        <v>جولة</v>
      </c>
      <c r="P343" s="26" t="str">
        <f>IF(NOT("https://maps.app.goo.gl/LPC5QooR1YJtXR6eA" = ""), HYPERLINK("https://maps.app.goo.gl/LPC5QooR1YJtXR6eA", "موقع"), "")</f>
        <v>موقع</v>
      </c>
      <c r="Q343" s="24">
        <v>65000</v>
      </c>
      <c r="R343" s="26" t="str">
        <f t="shared" si="5"/>
        <v>تقديم طلب</v>
      </c>
      <c r="S343" s="32" t="s">
        <v>4315</v>
      </c>
    </row>
    <row r="344" spans="1:19" s="23" customFormat="1" ht="105" x14ac:dyDescent="0.3">
      <c r="A344" s="24" t="s">
        <v>1814</v>
      </c>
      <c r="B344" s="25" t="s">
        <v>296</v>
      </c>
      <c r="C344" s="24" t="s">
        <v>315</v>
      </c>
      <c r="D344" s="24" t="s">
        <v>1100</v>
      </c>
      <c r="E344" s="24" t="s">
        <v>1143</v>
      </c>
      <c r="F344" s="24" t="s">
        <v>1815</v>
      </c>
      <c r="G344" s="24" t="s">
        <v>1816</v>
      </c>
      <c r="H344" s="24" t="s">
        <v>1817</v>
      </c>
      <c r="I344" s="24">
        <v>499</v>
      </c>
      <c r="J344" s="24">
        <v>0</v>
      </c>
      <c r="K344" s="24"/>
      <c r="L344" s="24" t="s">
        <v>1818</v>
      </c>
      <c r="M344" s="24" t="s">
        <v>1819</v>
      </c>
      <c r="N344" s="26" t="s">
        <v>30</v>
      </c>
      <c r="O344" s="26" t="s">
        <v>30</v>
      </c>
      <c r="P344" s="26" t="s">
        <v>30</v>
      </c>
      <c r="Q344" s="24">
        <v>639000</v>
      </c>
      <c r="R344" s="26" t="str">
        <f t="shared" si="5"/>
        <v>تقديم طلب</v>
      </c>
      <c r="S344" s="32" t="s">
        <v>4316</v>
      </c>
    </row>
    <row r="345" spans="1:19" s="23" customFormat="1" ht="180" x14ac:dyDescent="0.3">
      <c r="A345" s="24" t="s">
        <v>1809</v>
      </c>
      <c r="B345" s="25" t="s">
        <v>296</v>
      </c>
      <c r="C345" s="24" t="s">
        <v>315</v>
      </c>
      <c r="D345" s="24" t="s">
        <v>1100</v>
      </c>
      <c r="E345" s="24" t="s">
        <v>1143</v>
      </c>
      <c r="F345" s="24" t="s">
        <v>1810</v>
      </c>
      <c r="G345" s="24" t="s">
        <v>1811</v>
      </c>
      <c r="H345" s="24" t="s">
        <v>1146</v>
      </c>
      <c r="I345" s="24">
        <v>153</v>
      </c>
      <c r="J345" s="24">
        <v>0</v>
      </c>
      <c r="K345" s="24"/>
      <c r="L345" s="24" t="s">
        <v>1812</v>
      </c>
      <c r="M345" s="24" t="s">
        <v>1813</v>
      </c>
      <c r="N345" s="26" t="s">
        <v>30</v>
      </c>
      <c r="O345" s="26" t="s">
        <v>30</v>
      </c>
      <c r="P345" s="26" t="str">
        <f>IF(NOT("https://maps.app.goo.gl/BCCkCtzLbmBDR2Hv8" = ""), HYPERLINK("https://maps.app.goo.gl/BCCkCtzLbmBDR2Hv8", "موقع"), "")</f>
        <v>موقع</v>
      </c>
      <c r="Q345" s="24">
        <v>227000</v>
      </c>
      <c r="R345" s="26" t="str">
        <f t="shared" si="5"/>
        <v>تقديم طلب</v>
      </c>
      <c r="S345" s="32" t="s">
        <v>4317</v>
      </c>
    </row>
    <row r="346" spans="1:19" s="23" customFormat="1" ht="105" x14ac:dyDescent="0.3">
      <c r="A346" s="24" t="s">
        <v>1806</v>
      </c>
      <c r="B346" s="25" t="s">
        <v>296</v>
      </c>
      <c r="C346" s="24" t="s">
        <v>315</v>
      </c>
      <c r="D346" s="24" t="s">
        <v>1100</v>
      </c>
      <c r="E346" s="24" t="s">
        <v>1143</v>
      </c>
      <c r="F346" s="24" t="s">
        <v>1340</v>
      </c>
      <c r="G346" s="24" t="s">
        <v>1341</v>
      </c>
      <c r="H346" s="24" t="s">
        <v>1342</v>
      </c>
      <c r="I346" s="24">
        <v>1174</v>
      </c>
      <c r="J346" s="24">
        <v>0</v>
      </c>
      <c r="K346" s="24"/>
      <c r="L346" s="24" t="s">
        <v>1807</v>
      </c>
      <c r="M346" s="24" t="s">
        <v>1808</v>
      </c>
      <c r="N346" s="26" t="s">
        <v>30</v>
      </c>
      <c r="O346" s="26" t="s">
        <v>30</v>
      </c>
      <c r="P346" s="26" t="str">
        <f>IF(NOT("https://maps.app.goo.gl/tWyaDoSy31YBob8g6" = ""), HYPERLINK("https://maps.app.goo.gl/tWyaDoSy31YBob8g6", "موقع"), "")</f>
        <v>موقع</v>
      </c>
      <c r="Q346" s="24">
        <v>169000</v>
      </c>
      <c r="R346" s="26" t="str">
        <f t="shared" si="5"/>
        <v>تقديم طلب</v>
      </c>
      <c r="S346" s="32" t="s">
        <v>4318</v>
      </c>
    </row>
    <row r="347" spans="1:19" s="23" customFormat="1" ht="90" x14ac:dyDescent="0.3">
      <c r="A347" s="24" t="s">
        <v>1800</v>
      </c>
      <c r="B347" s="25" t="s">
        <v>296</v>
      </c>
      <c r="C347" s="24" t="s">
        <v>315</v>
      </c>
      <c r="D347" s="24" t="s">
        <v>1100</v>
      </c>
      <c r="E347" s="24" t="s">
        <v>1143</v>
      </c>
      <c r="F347" s="24" t="s">
        <v>1801</v>
      </c>
      <c r="G347" s="24" t="s">
        <v>1802</v>
      </c>
      <c r="H347" s="24" t="s">
        <v>1803</v>
      </c>
      <c r="I347" s="24">
        <v>754</v>
      </c>
      <c r="J347" s="24">
        <v>0</v>
      </c>
      <c r="K347" s="24"/>
      <c r="L347" s="24" t="s">
        <v>1804</v>
      </c>
      <c r="M347" s="24" t="s">
        <v>1805</v>
      </c>
      <c r="N347" s="26" t="s">
        <v>30</v>
      </c>
      <c r="O347" s="26" t="s">
        <v>30</v>
      </c>
      <c r="P347" s="26" t="s">
        <v>30</v>
      </c>
      <c r="Q347" s="24">
        <v>133000</v>
      </c>
      <c r="R347" s="26" t="str">
        <f t="shared" si="5"/>
        <v>تقديم طلب</v>
      </c>
      <c r="S347" s="32" t="s">
        <v>4319</v>
      </c>
    </row>
    <row r="348" spans="1:19" s="23" customFormat="1" ht="90" x14ac:dyDescent="0.3">
      <c r="A348" s="24" t="s">
        <v>1798</v>
      </c>
      <c r="B348" s="25" t="s">
        <v>296</v>
      </c>
      <c r="C348" s="24" t="s">
        <v>315</v>
      </c>
      <c r="D348" s="24" t="s">
        <v>1100</v>
      </c>
      <c r="E348" s="24" t="s">
        <v>1143</v>
      </c>
      <c r="F348" s="24" t="s">
        <v>1153</v>
      </c>
      <c r="G348" s="24" t="s">
        <v>1411</v>
      </c>
      <c r="H348" s="24" t="s">
        <v>1209</v>
      </c>
      <c r="I348" s="24">
        <v>1178</v>
      </c>
      <c r="J348" s="24">
        <v>0</v>
      </c>
      <c r="K348" s="24"/>
      <c r="L348" s="24" t="s">
        <v>1061</v>
      </c>
      <c r="M348" s="24" t="s">
        <v>1799</v>
      </c>
      <c r="N348" s="26" t="s">
        <v>30</v>
      </c>
      <c r="O348" s="26" t="s">
        <v>30</v>
      </c>
      <c r="P348" s="26" t="str">
        <f>IF(NOT("https://maps.app.goo.gl/WvAi5SX7Mp81g2B66" = ""), HYPERLINK("https://maps.app.goo.gl/WvAi5SX7Mp81g2B66", "موقع"), "")</f>
        <v>موقع</v>
      </c>
      <c r="Q348" s="24">
        <v>106000</v>
      </c>
      <c r="R348" s="26" t="str">
        <f t="shared" si="5"/>
        <v>تقديم طلب</v>
      </c>
      <c r="S348" s="32" t="s">
        <v>4320</v>
      </c>
    </row>
    <row r="349" spans="1:19" s="23" customFormat="1" ht="180" x14ac:dyDescent="0.3">
      <c r="A349" s="24" t="s">
        <v>1793</v>
      </c>
      <c r="B349" s="25" t="s">
        <v>296</v>
      </c>
      <c r="C349" s="24" t="s">
        <v>315</v>
      </c>
      <c r="D349" s="24" t="s">
        <v>1100</v>
      </c>
      <c r="E349" s="24" t="s">
        <v>1168</v>
      </c>
      <c r="F349" s="24" t="s">
        <v>1794</v>
      </c>
      <c r="G349" s="24" t="s">
        <v>1795</v>
      </c>
      <c r="H349" s="24" t="s">
        <v>1171</v>
      </c>
      <c r="I349" s="24">
        <v>102</v>
      </c>
      <c r="J349" s="24">
        <v>0</v>
      </c>
      <c r="K349" s="24"/>
      <c r="L349" s="24" t="s">
        <v>1796</v>
      </c>
      <c r="M349" s="24" t="s">
        <v>1797</v>
      </c>
      <c r="N349" s="26" t="s">
        <v>30</v>
      </c>
      <c r="O349" s="26" t="s">
        <v>30</v>
      </c>
      <c r="P349" s="26" t="str">
        <f>IF(NOT("https://maps.app.goo.gl/coieZUwdi4zRHJkZ8" = ""), HYPERLINK("https://maps.app.goo.gl/coieZUwdi4zRHJkZ8", "موقع"), "")</f>
        <v>موقع</v>
      </c>
      <c r="Q349" s="24">
        <v>100000</v>
      </c>
      <c r="R349" s="26" t="str">
        <f t="shared" si="5"/>
        <v>تقديم طلب</v>
      </c>
      <c r="S349" s="32" t="s">
        <v>4321</v>
      </c>
    </row>
    <row r="350" spans="1:19" s="23" customFormat="1" ht="150" x14ac:dyDescent="0.3">
      <c r="A350" s="24" t="s">
        <v>1787</v>
      </c>
      <c r="B350" s="25" t="s">
        <v>296</v>
      </c>
      <c r="C350" s="24" t="s">
        <v>315</v>
      </c>
      <c r="D350" s="24" t="s">
        <v>1100</v>
      </c>
      <c r="E350" s="24" t="s">
        <v>1162</v>
      </c>
      <c r="F350" s="24" t="s">
        <v>1788</v>
      </c>
      <c r="G350" s="24" t="s">
        <v>1789</v>
      </c>
      <c r="H350" s="24" t="s">
        <v>1790</v>
      </c>
      <c r="I350" s="24">
        <v>1260</v>
      </c>
      <c r="J350" s="24">
        <v>0</v>
      </c>
      <c r="K350" s="24"/>
      <c r="L350" s="24" t="s">
        <v>1791</v>
      </c>
      <c r="M350" s="24" t="s">
        <v>1792</v>
      </c>
      <c r="N350" s="26" t="s">
        <v>30</v>
      </c>
      <c r="O350" s="26" t="str">
        <f>IF(NOT("https://truemarkets3d.net/3d-virtual-tour/housingbank-realestate/phase3/aq-bld-100472/index.html" = ""), HYPERLINK("https://truemarkets3d.net/3d-virtual-tour/housingbank-realestate/phase3/aq-bld-100472/index.html", "جولة"), "")</f>
        <v>جولة</v>
      </c>
      <c r="P350" s="26" t="str">
        <f>IF(NOT("https://maps.app.goo.gl/kCTXZ2VJm3L2ca5e7" = ""), HYPERLINK("https://maps.app.goo.gl/kCTXZ2VJm3L2ca5e7", "موقع"), "")</f>
        <v>موقع</v>
      </c>
      <c r="Q350" s="24">
        <v>88000</v>
      </c>
      <c r="R350" s="26" t="str">
        <f t="shared" si="5"/>
        <v>تقديم طلب</v>
      </c>
      <c r="S350" s="32" t="s">
        <v>4322</v>
      </c>
    </row>
    <row r="351" spans="1:19" s="23" customFormat="1" ht="105" x14ac:dyDescent="0.3">
      <c r="A351" s="24" t="s">
        <v>1784</v>
      </c>
      <c r="B351" s="25" t="s">
        <v>296</v>
      </c>
      <c r="C351" s="24" t="s">
        <v>315</v>
      </c>
      <c r="D351" s="24" t="s">
        <v>1100</v>
      </c>
      <c r="E351" s="24" t="s">
        <v>1162</v>
      </c>
      <c r="F351" s="24" t="s">
        <v>1163</v>
      </c>
      <c r="G351" s="24" t="s">
        <v>1189</v>
      </c>
      <c r="H351" s="24" t="s">
        <v>1254</v>
      </c>
      <c r="I351" s="24">
        <v>2070</v>
      </c>
      <c r="J351" s="24">
        <v>0</v>
      </c>
      <c r="K351" s="24"/>
      <c r="L351" s="24" t="s">
        <v>1785</v>
      </c>
      <c r="M351" s="24" t="s">
        <v>1786</v>
      </c>
      <c r="N351" s="26" t="s">
        <v>30</v>
      </c>
      <c r="O351" s="26" t="s">
        <v>30</v>
      </c>
      <c r="P351" s="26" t="str">
        <f>IF(NOT("https://maps.app.goo.gl/1fGamv9TH4bXjKAZ7" = ""), HYPERLINK("https://maps.app.goo.gl/1fGamv9TH4bXjKAZ7", "موقع"), "")</f>
        <v>موقع</v>
      </c>
      <c r="Q351" s="24">
        <v>45000</v>
      </c>
      <c r="R351" s="26" t="str">
        <f t="shared" si="5"/>
        <v>تقديم طلب</v>
      </c>
      <c r="S351" s="32" t="s">
        <v>4323</v>
      </c>
    </row>
    <row r="352" spans="1:19" s="23" customFormat="1" ht="105" x14ac:dyDescent="0.3">
      <c r="A352" s="24" t="s">
        <v>1782</v>
      </c>
      <c r="B352" s="25" t="s">
        <v>296</v>
      </c>
      <c r="C352" s="24" t="s">
        <v>315</v>
      </c>
      <c r="D352" s="24" t="s">
        <v>1100</v>
      </c>
      <c r="E352" s="24" t="s">
        <v>1143</v>
      </c>
      <c r="F352" s="24" t="s">
        <v>1153</v>
      </c>
      <c r="G352" s="24" t="s">
        <v>1356</v>
      </c>
      <c r="H352" s="24" t="s">
        <v>1357</v>
      </c>
      <c r="I352" s="24">
        <v>2554</v>
      </c>
      <c r="J352" s="24"/>
      <c r="K352" s="24"/>
      <c r="L352" s="24" t="s">
        <v>850</v>
      </c>
      <c r="M352" s="24" t="s">
        <v>1783</v>
      </c>
      <c r="N352" s="26" t="s">
        <v>30</v>
      </c>
      <c r="O352" s="26" t="s">
        <v>30</v>
      </c>
      <c r="P352" s="26" t="s">
        <v>30</v>
      </c>
      <c r="Q352" s="24">
        <v>19000</v>
      </c>
      <c r="R352" s="26" t="str">
        <f t="shared" si="5"/>
        <v>تقديم طلب</v>
      </c>
      <c r="S352" s="32" t="s">
        <v>4324</v>
      </c>
    </row>
    <row r="353" spans="1:19" s="23" customFormat="1" ht="150" x14ac:dyDescent="0.3">
      <c r="A353" s="24" t="s">
        <v>1779</v>
      </c>
      <c r="B353" s="25" t="s">
        <v>296</v>
      </c>
      <c r="C353" s="24" t="s">
        <v>315</v>
      </c>
      <c r="D353" s="24" t="s">
        <v>1100</v>
      </c>
      <c r="E353" s="24" t="s">
        <v>1101</v>
      </c>
      <c r="F353" s="24" t="s">
        <v>1102</v>
      </c>
      <c r="G353" s="24" t="s">
        <v>1119</v>
      </c>
      <c r="H353" s="24" t="s">
        <v>1780</v>
      </c>
      <c r="I353" s="24">
        <v>318</v>
      </c>
      <c r="J353" s="24">
        <v>0</v>
      </c>
      <c r="K353" s="24"/>
      <c r="L353" s="24" t="s">
        <v>1466</v>
      </c>
      <c r="M353" s="24" t="s">
        <v>1781</v>
      </c>
      <c r="N353" s="26" t="s">
        <v>30</v>
      </c>
      <c r="O353" s="26" t="s">
        <v>30</v>
      </c>
      <c r="P353" s="26" t="str">
        <f>IF(NOT("https://maps.app.goo.gl/qJ2N4seNzMWjiszC6" = ""), HYPERLINK("https://maps.app.goo.gl/qJ2N4seNzMWjiszC6", "موقع"), "")</f>
        <v>موقع</v>
      </c>
      <c r="Q353" s="24">
        <v>18000</v>
      </c>
      <c r="R353" s="26" t="str">
        <f t="shared" si="5"/>
        <v>تقديم طلب</v>
      </c>
      <c r="S353" s="32" t="s">
        <v>4325</v>
      </c>
    </row>
    <row r="354" spans="1:19" s="23" customFormat="1" ht="90" x14ac:dyDescent="0.3">
      <c r="A354" s="24" t="s">
        <v>1775</v>
      </c>
      <c r="B354" s="25" t="s">
        <v>296</v>
      </c>
      <c r="C354" s="24" t="s">
        <v>315</v>
      </c>
      <c r="D354" s="24" t="s">
        <v>1100</v>
      </c>
      <c r="E354" s="24" t="s">
        <v>1168</v>
      </c>
      <c r="F354" s="24" t="s">
        <v>1240</v>
      </c>
      <c r="G354" s="24" t="s">
        <v>1776</v>
      </c>
      <c r="H354" s="24" t="s">
        <v>1171</v>
      </c>
      <c r="I354" s="24">
        <v>713</v>
      </c>
      <c r="J354" s="24">
        <v>0</v>
      </c>
      <c r="K354" s="24"/>
      <c r="L354" s="24" t="s">
        <v>1777</v>
      </c>
      <c r="M354" s="24" t="s">
        <v>1778</v>
      </c>
      <c r="N354" s="26" t="s">
        <v>30</v>
      </c>
      <c r="O354" s="26" t="s">
        <v>30</v>
      </c>
      <c r="P354" s="26" t="s">
        <v>30</v>
      </c>
      <c r="Q354" s="24">
        <v>16000</v>
      </c>
      <c r="R354" s="26" t="str">
        <f t="shared" si="5"/>
        <v>تقديم طلب</v>
      </c>
      <c r="S354" s="32" t="s">
        <v>4326</v>
      </c>
    </row>
    <row r="355" spans="1:19" s="23" customFormat="1" ht="255" x14ac:dyDescent="0.3">
      <c r="A355" s="24" t="s">
        <v>1880</v>
      </c>
      <c r="B355" s="25" t="s">
        <v>296</v>
      </c>
      <c r="C355" s="24" t="s">
        <v>451</v>
      </c>
      <c r="D355" s="24" t="s">
        <v>1100</v>
      </c>
      <c r="E355" s="24" t="s">
        <v>1143</v>
      </c>
      <c r="F355" s="24" t="s">
        <v>1815</v>
      </c>
      <c r="G355" s="24" t="s">
        <v>1881</v>
      </c>
      <c r="H355" s="24" t="s">
        <v>1342</v>
      </c>
      <c r="I355" s="24">
        <v>444</v>
      </c>
      <c r="J355" s="24"/>
      <c r="K355" s="24"/>
      <c r="L355" s="24" t="s">
        <v>1882</v>
      </c>
      <c r="M355" s="24" t="s">
        <v>1883</v>
      </c>
      <c r="N355" s="26" t="s">
        <v>30</v>
      </c>
      <c r="O355" s="26" t="s">
        <v>30</v>
      </c>
      <c r="P355" s="26" t="s">
        <v>30</v>
      </c>
      <c r="Q355" s="24">
        <v>473000</v>
      </c>
      <c r="R355" s="26" t="str">
        <f t="shared" si="5"/>
        <v>تقديم طلب</v>
      </c>
      <c r="S355" s="32" t="s">
        <v>4327</v>
      </c>
    </row>
    <row r="356" spans="1:19" s="23" customFormat="1" ht="90" x14ac:dyDescent="0.3">
      <c r="A356" s="24" t="s">
        <v>1896</v>
      </c>
      <c r="B356" s="25" t="s">
        <v>296</v>
      </c>
      <c r="C356" s="24" t="s">
        <v>451</v>
      </c>
      <c r="D356" s="24" t="s">
        <v>1100</v>
      </c>
      <c r="E356" s="24" t="s">
        <v>1472</v>
      </c>
      <c r="F356" s="24" t="s">
        <v>1473</v>
      </c>
      <c r="G356" s="24" t="s">
        <v>1603</v>
      </c>
      <c r="H356" s="24" t="s">
        <v>1475</v>
      </c>
      <c r="I356" s="24">
        <v>431</v>
      </c>
      <c r="J356" s="24">
        <v>0</v>
      </c>
      <c r="K356" s="24"/>
      <c r="L356" s="24" t="s">
        <v>1909</v>
      </c>
      <c r="M356" s="24"/>
      <c r="N356" s="26" t="s">
        <v>30</v>
      </c>
      <c r="O356" s="26" t="s">
        <v>30</v>
      </c>
      <c r="P356" s="26" t="str">
        <f>IF(NOT("https://maps.app.goo.gl/pTgVnDozAftarPw47" = ""), HYPERLINK("https://maps.app.goo.gl/pTgVnDozAftarPw47", "موقع"), "")</f>
        <v>موقع</v>
      </c>
      <c r="Q356" s="24"/>
      <c r="R356" s="26" t="str">
        <f t="shared" si="5"/>
        <v>تقديم طلب</v>
      </c>
      <c r="S356" s="32" t="s">
        <v>4328</v>
      </c>
    </row>
    <row r="357" spans="1:19" s="23" customFormat="1" ht="105" x14ac:dyDescent="0.3">
      <c r="A357" s="24" t="s">
        <v>2000</v>
      </c>
      <c r="B357" s="25" t="s">
        <v>468</v>
      </c>
      <c r="C357" s="24" t="s">
        <v>469</v>
      </c>
      <c r="D357" s="24" t="s">
        <v>1100</v>
      </c>
      <c r="E357" s="24" t="s">
        <v>1424</v>
      </c>
      <c r="F357" s="24" t="s">
        <v>1425</v>
      </c>
      <c r="G357" s="24" t="s">
        <v>2001</v>
      </c>
      <c r="H357" s="24" t="s">
        <v>2002</v>
      </c>
      <c r="I357" s="24">
        <v>381</v>
      </c>
      <c r="J357" s="24"/>
      <c r="K357" s="24"/>
      <c r="L357" s="24" t="s">
        <v>2003</v>
      </c>
      <c r="M357" s="24" t="s">
        <v>2004</v>
      </c>
      <c r="N357" s="26" t="s">
        <v>30</v>
      </c>
      <c r="O357" s="26" t="s">
        <v>30</v>
      </c>
      <c r="P357" s="26" t="str">
        <f>IF(NOT("https://maps.app.goo.gl/TUA87RZKwj9BjkHs7" = ""), HYPERLINK("https://maps.app.goo.gl/TUA87RZKwj9BjkHs7", "موقع"), "")</f>
        <v>موقع</v>
      </c>
      <c r="Q357" s="24">
        <v>819000</v>
      </c>
      <c r="R357" s="26" t="str">
        <f t="shared" si="5"/>
        <v>تقديم طلب</v>
      </c>
      <c r="S357" s="32" t="s">
        <v>4329</v>
      </c>
    </row>
    <row r="358" spans="1:19" s="23" customFormat="1" ht="105" x14ac:dyDescent="0.3">
      <c r="A358" s="24" t="s">
        <v>1997</v>
      </c>
      <c r="B358" s="25" t="s">
        <v>468</v>
      </c>
      <c r="C358" s="24" t="s">
        <v>469</v>
      </c>
      <c r="D358" s="24" t="s">
        <v>1100</v>
      </c>
      <c r="E358" s="24" t="s">
        <v>1263</v>
      </c>
      <c r="F358" s="24" t="s">
        <v>1461</v>
      </c>
      <c r="G358" s="24" t="s">
        <v>1998</v>
      </c>
      <c r="H358" s="24" t="s">
        <v>1463</v>
      </c>
      <c r="I358" s="24">
        <v>873</v>
      </c>
      <c r="J358" s="24"/>
      <c r="K358" s="24"/>
      <c r="L358" s="24" t="s">
        <v>1061</v>
      </c>
      <c r="M358" s="24" t="s">
        <v>1999</v>
      </c>
      <c r="N358" s="26" t="s">
        <v>30</v>
      </c>
      <c r="O358" s="26" t="s">
        <v>30</v>
      </c>
      <c r="P358" s="26" t="str">
        <f>IF(NOT("https://maps.app.goo.gl/A9tsvAhQTLtobTK4A" = ""), HYPERLINK("https://maps.app.goo.gl/A9tsvAhQTLtobTK4A", "موقع"), "")</f>
        <v>موقع</v>
      </c>
      <c r="Q358" s="24">
        <v>174000</v>
      </c>
      <c r="R358" s="26" t="str">
        <f t="shared" si="5"/>
        <v>تقديم طلب</v>
      </c>
      <c r="S358" s="32" t="s">
        <v>4330</v>
      </c>
    </row>
    <row r="359" spans="1:19" s="23" customFormat="1" ht="105" x14ac:dyDescent="0.3">
      <c r="A359" s="24" t="s">
        <v>1994</v>
      </c>
      <c r="B359" s="25" t="s">
        <v>468</v>
      </c>
      <c r="C359" s="24" t="s">
        <v>469</v>
      </c>
      <c r="D359" s="24" t="s">
        <v>1100</v>
      </c>
      <c r="E359" s="24" t="s">
        <v>1143</v>
      </c>
      <c r="F359" s="24" t="s">
        <v>1968</v>
      </c>
      <c r="G359" s="24" t="s">
        <v>1969</v>
      </c>
      <c r="H359" s="24" t="s">
        <v>1970</v>
      </c>
      <c r="I359" s="24">
        <v>347</v>
      </c>
      <c r="J359" s="24"/>
      <c r="K359" s="24"/>
      <c r="L359" s="24" t="s">
        <v>1995</v>
      </c>
      <c r="M359" s="24" t="s">
        <v>1996</v>
      </c>
      <c r="N359" s="26" t="s">
        <v>30</v>
      </c>
      <c r="O359" s="26" t="s">
        <v>30</v>
      </c>
      <c r="P359" s="26" t="str">
        <f>IF(NOT("https://maps.app.goo.gl/o7cRey1CUqSGMQAb9" = ""), HYPERLINK("https://maps.app.goo.gl/o7cRey1CUqSGMQAb9", "موقع"), "")</f>
        <v>موقع</v>
      </c>
      <c r="Q359" s="24">
        <v>153000</v>
      </c>
      <c r="R359" s="26" t="str">
        <f t="shared" si="5"/>
        <v>تقديم طلب</v>
      </c>
      <c r="S359" s="32" t="s">
        <v>4331</v>
      </c>
    </row>
    <row r="360" spans="1:19" s="23" customFormat="1" ht="105" x14ac:dyDescent="0.3">
      <c r="A360" s="24" t="s">
        <v>1990</v>
      </c>
      <c r="B360" s="25" t="s">
        <v>468</v>
      </c>
      <c r="C360" s="24" t="s">
        <v>469</v>
      </c>
      <c r="D360" s="24" t="s">
        <v>1100</v>
      </c>
      <c r="E360" s="24" t="s">
        <v>1143</v>
      </c>
      <c r="F360" s="24" t="s">
        <v>1968</v>
      </c>
      <c r="G360" s="24" t="s">
        <v>1969</v>
      </c>
      <c r="H360" s="24" t="s">
        <v>1970</v>
      </c>
      <c r="I360" s="24">
        <v>339</v>
      </c>
      <c r="J360" s="24"/>
      <c r="K360" s="24"/>
      <c r="L360" s="24" t="s">
        <v>1974</v>
      </c>
      <c r="M360" s="24" t="s">
        <v>1989</v>
      </c>
      <c r="N360" s="26" t="s">
        <v>30</v>
      </c>
      <c r="O360" s="26" t="s">
        <v>30</v>
      </c>
      <c r="P360" s="26" t="s">
        <v>30</v>
      </c>
      <c r="Q360" s="24">
        <v>152000</v>
      </c>
      <c r="R360" s="26" t="str">
        <f t="shared" si="5"/>
        <v>تقديم طلب</v>
      </c>
      <c r="S360" s="32" t="s">
        <v>4332</v>
      </c>
    </row>
    <row r="361" spans="1:19" s="23" customFormat="1" ht="105" x14ac:dyDescent="0.3">
      <c r="A361" s="24" t="s">
        <v>1991</v>
      </c>
      <c r="B361" s="25" t="s">
        <v>468</v>
      </c>
      <c r="C361" s="24" t="s">
        <v>469</v>
      </c>
      <c r="D361" s="24" t="s">
        <v>1100</v>
      </c>
      <c r="E361" s="24" t="s">
        <v>1143</v>
      </c>
      <c r="F361" s="24" t="s">
        <v>1968</v>
      </c>
      <c r="G361" s="24" t="s">
        <v>1969</v>
      </c>
      <c r="H361" s="24" t="s">
        <v>1970</v>
      </c>
      <c r="I361" s="24">
        <v>335</v>
      </c>
      <c r="J361" s="24"/>
      <c r="K361" s="24"/>
      <c r="L361" s="24" t="s">
        <v>1971</v>
      </c>
      <c r="M361" s="24" t="s">
        <v>1977</v>
      </c>
      <c r="N361" s="26" t="s">
        <v>30</v>
      </c>
      <c r="O361" s="26" t="s">
        <v>30</v>
      </c>
      <c r="P361" s="26" t="s">
        <v>30</v>
      </c>
      <c r="Q361" s="24">
        <v>152000</v>
      </c>
      <c r="R361" s="26" t="str">
        <f t="shared" si="5"/>
        <v>تقديم طلب</v>
      </c>
      <c r="S361" s="32" t="s">
        <v>4333</v>
      </c>
    </row>
    <row r="362" spans="1:19" s="23" customFormat="1" ht="105" x14ac:dyDescent="0.3">
      <c r="A362" s="24" t="s">
        <v>1992</v>
      </c>
      <c r="B362" s="25" t="s">
        <v>468</v>
      </c>
      <c r="C362" s="24" t="s">
        <v>469</v>
      </c>
      <c r="D362" s="24" t="s">
        <v>1100</v>
      </c>
      <c r="E362" s="24" t="s">
        <v>1143</v>
      </c>
      <c r="F362" s="24" t="s">
        <v>1968</v>
      </c>
      <c r="G362" s="24" t="s">
        <v>1969</v>
      </c>
      <c r="H362" s="24" t="s">
        <v>1970</v>
      </c>
      <c r="I362" s="24">
        <v>340</v>
      </c>
      <c r="J362" s="24"/>
      <c r="K362" s="24"/>
      <c r="L362" s="24" t="s">
        <v>1971</v>
      </c>
      <c r="M362" s="24" t="s">
        <v>1977</v>
      </c>
      <c r="N362" s="26" t="s">
        <v>30</v>
      </c>
      <c r="O362" s="26" t="s">
        <v>30</v>
      </c>
      <c r="P362" s="26" t="s">
        <v>30</v>
      </c>
      <c r="Q362" s="24">
        <v>152000</v>
      </c>
      <c r="R362" s="26" t="str">
        <f t="shared" si="5"/>
        <v>تقديم طلب</v>
      </c>
      <c r="S362" s="32" t="s">
        <v>4334</v>
      </c>
    </row>
    <row r="363" spans="1:19" s="23" customFormat="1" ht="105" x14ac:dyDescent="0.3">
      <c r="A363" s="24" t="s">
        <v>1993</v>
      </c>
      <c r="B363" s="25" t="s">
        <v>468</v>
      </c>
      <c r="C363" s="24" t="s">
        <v>469</v>
      </c>
      <c r="D363" s="24" t="s">
        <v>1100</v>
      </c>
      <c r="E363" s="24" t="s">
        <v>1143</v>
      </c>
      <c r="F363" s="24" t="s">
        <v>1968</v>
      </c>
      <c r="G363" s="24" t="s">
        <v>1969</v>
      </c>
      <c r="H363" s="24" t="s">
        <v>1970</v>
      </c>
      <c r="I363" s="24">
        <v>343</v>
      </c>
      <c r="J363" s="24"/>
      <c r="K363" s="24"/>
      <c r="L363" s="24" t="s">
        <v>1974</v>
      </c>
      <c r="M363" s="24" t="s">
        <v>1975</v>
      </c>
      <c r="N363" s="26" t="s">
        <v>30</v>
      </c>
      <c r="O363" s="26" t="s">
        <v>30</v>
      </c>
      <c r="P363" s="26" t="str">
        <f>IF(NOT("https://maps.app.goo.gl/PzxKSsMrfUg6T8AMA" = ""), HYPERLINK("https://maps.app.goo.gl/PzxKSsMrfUg6T8AMA", "موقع"), "")</f>
        <v>موقع</v>
      </c>
      <c r="Q363" s="24">
        <v>152000</v>
      </c>
      <c r="R363" s="26" t="str">
        <f t="shared" si="5"/>
        <v>تقديم طلب</v>
      </c>
      <c r="S363" s="32" t="s">
        <v>4335</v>
      </c>
    </row>
    <row r="364" spans="1:19" s="23" customFormat="1" ht="105" x14ac:dyDescent="0.3">
      <c r="A364" s="24" t="s">
        <v>1988</v>
      </c>
      <c r="B364" s="25" t="s">
        <v>468</v>
      </c>
      <c r="C364" s="24" t="s">
        <v>469</v>
      </c>
      <c r="D364" s="24" t="s">
        <v>1100</v>
      </c>
      <c r="E364" s="24" t="s">
        <v>1143</v>
      </c>
      <c r="F364" s="24" t="s">
        <v>1968</v>
      </c>
      <c r="G364" s="24" t="s">
        <v>1969</v>
      </c>
      <c r="H364" s="24" t="s">
        <v>1970</v>
      </c>
      <c r="I364" s="24">
        <v>329</v>
      </c>
      <c r="J364" s="24"/>
      <c r="K364" s="24"/>
      <c r="L364" s="24" t="s">
        <v>1974</v>
      </c>
      <c r="M364" s="24" t="s">
        <v>1989</v>
      </c>
      <c r="N364" s="26" t="s">
        <v>30</v>
      </c>
      <c r="O364" s="26" t="s">
        <v>30</v>
      </c>
      <c r="P364" s="26" t="str">
        <f>IF(NOT("https://maps.app.goo.gl/42K7oRJn1DkVELz27" = ""), HYPERLINK("https://maps.app.goo.gl/42K7oRJn1DkVELz27", "موقع"), "")</f>
        <v>موقع</v>
      </c>
      <c r="Q364" s="24">
        <v>148000</v>
      </c>
      <c r="R364" s="26" t="str">
        <f t="shared" si="5"/>
        <v>تقديم طلب</v>
      </c>
      <c r="S364" s="32" t="s">
        <v>4336</v>
      </c>
    </row>
    <row r="365" spans="1:19" s="23" customFormat="1" ht="105" x14ac:dyDescent="0.3">
      <c r="A365" s="24" t="s">
        <v>1987</v>
      </c>
      <c r="B365" s="25" t="s">
        <v>468</v>
      </c>
      <c r="C365" s="24" t="s">
        <v>469</v>
      </c>
      <c r="D365" s="24" t="s">
        <v>1100</v>
      </c>
      <c r="E365" s="24" t="s">
        <v>1143</v>
      </c>
      <c r="F365" s="24" t="s">
        <v>1968</v>
      </c>
      <c r="G365" s="24" t="s">
        <v>1969</v>
      </c>
      <c r="H365" s="24" t="s">
        <v>1970</v>
      </c>
      <c r="I365" s="24">
        <v>330</v>
      </c>
      <c r="J365" s="24">
        <v>0</v>
      </c>
      <c r="K365" s="24"/>
      <c r="L365" s="24" t="s">
        <v>1974</v>
      </c>
      <c r="M365" s="24" t="s">
        <v>1975</v>
      </c>
      <c r="N365" s="26" t="s">
        <v>30</v>
      </c>
      <c r="O365" s="26" t="s">
        <v>30</v>
      </c>
      <c r="P365" s="26" t="str">
        <f>IF(NOT("https://maps.app.goo.gl/Skrqwf7r3wdJYpw1A" = ""), HYPERLINK("https://maps.app.goo.gl/Skrqwf7r3wdJYpw1A", "موقع"), "")</f>
        <v>موقع</v>
      </c>
      <c r="Q365" s="24">
        <v>145000</v>
      </c>
      <c r="R365" s="26" t="str">
        <f t="shared" si="5"/>
        <v>تقديم طلب</v>
      </c>
      <c r="S365" s="32" t="s">
        <v>4337</v>
      </c>
    </row>
    <row r="366" spans="1:19" s="23" customFormat="1" ht="105" x14ac:dyDescent="0.3">
      <c r="A366" s="24" t="s">
        <v>1981</v>
      </c>
      <c r="B366" s="25" t="s">
        <v>468</v>
      </c>
      <c r="C366" s="24" t="s">
        <v>469</v>
      </c>
      <c r="D366" s="24" t="s">
        <v>1100</v>
      </c>
      <c r="E366" s="24" t="s">
        <v>1143</v>
      </c>
      <c r="F366" s="24" t="s">
        <v>1968</v>
      </c>
      <c r="G366" s="24" t="s">
        <v>1969</v>
      </c>
      <c r="H366" s="24" t="s">
        <v>1970</v>
      </c>
      <c r="I366" s="24">
        <v>341</v>
      </c>
      <c r="J366" s="24">
        <v>0</v>
      </c>
      <c r="K366" s="24"/>
      <c r="L366" s="24" t="s">
        <v>1982</v>
      </c>
      <c r="M366" s="24" t="s">
        <v>1983</v>
      </c>
      <c r="N366" s="26" t="s">
        <v>30</v>
      </c>
      <c r="O366" s="26" t="s">
        <v>30</v>
      </c>
      <c r="P366" s="26" t="str">
        <f>IF(NOT("https://maps.app.goo.gl/vqEp8YxRWwKJeWBPA" = ""), HYPERLINK("https://maps.app.goo.gl/vqEp8YxRWwKJeWBPA", "موقع"), "")</f>
        <v>موقع</v>
      </c>
      <c r="Q366" s="24">
        <v>144000</v>
      </c>
      <c r="R366" s="26" t="str">
        <f t="shared" si="5"/>
        <v>تقديم طلب</v>
      </c>
      <c r="S366" s="32" t="s">
        <v>4338</v>
      </c>
    </row>
    <row r="367" spans="1:19" s="23" customFormat="1" ht="105" x14ac:dyDescent="0.3">
      <c r="A367" s="24" t="s">
        <v>1984</v>
      </c>
      <c r="B367" s="25" t="s">
        <v>468</v>
      </c>
      <c r="C367" s="24" t="s">
        <v>469</v>
      </c>
      <c r="D367" s="24" t="s">
        <v>1100</v>
      </c>
      <c r="E367" s="24" t="s">
        <v>1143</v>
      </c>
      <c r="F367" s="24" t="s">
        <v>1968</v>
      </c>
      <c r="G367" s="24" t="s">
        <v>1969</v>
      </c>
      <c r="H367" s="24" t="s">
        <v>1970</v>
      </c>
      <c r="I367" s="24">
        <v>342</v>
      </c>
      <c r="J367" s="24">
        <v>0</v>
      </c>
      <c r="K367" s="24"/>
      <c r="L367" s="24" t="s">
        <v>1985</v>
      </c>
      <c r="M367" s="24" t="s">
        <v>1986</v>
      </c>
      <c r="N367" s="26" t="s">
        <v>30</v>
      </c>
      <c r="O367" s="26" t="s">
        <v>30</v>
      </c>
      <c r="P367" s="26" t="str">
        <f>IF(NOT("https://maps.app.goo.gl/MdAXn9YLwBcH5rDS9" = ""), HYPERLINK("https://maps.app.goo.gl/MdAXn9YLwBcH5rDS9", "موقع"), "")</f>
        <v>موقع</v>
      </c>
      <c r="Q367" s="24">
        <v>144000</v>
      </c>
      <c r="R367" s="26" t="str">
        <f t="shared" si="5"/>
        <v>تقديم طلب</v>
      </c>
      <c r="S367" s="32" t="s">
        <v>4339</v>
      </c>
    </row>
    <row r="368" spans="1:19" s="23" customFormat="1" ht="105" x14ac:dyDescent="0.3">
      <c r="A368" s="24" t="s">
        <v>1973</v>
      </c>
      <c r="B368" s="25" t="s">
        <v>468</v>
      </c>
      <c r="C368" s="24" t="s">
        <v>469</v>
      </c>
      <c r="D368" s="24" t="s">
        <v>1100</v>
      </c>
      <c r="E368" s="24" t="s">
        <v>1143</v>
      </c>
      <c r="F368" s="24" t="s">
        <v>1968</v>
      </c>
      <c r="G368" s="24" t="s">
        <v>1969</v>
      </c>
      <c r="H368" s="24" t="s">
        <v>1970</v>
      </c>
      <c r="I368" s="24">
        <v>333</v>
      </c>
      <c r="J368" s="24">
        <v>0</v>
      </c>
      <c r="K368" s="24"/>
      <c r="L368" s="24" t="s">
        <v>1974</v>
      </c>
      <c r="M368" s="24" t="s">
        <v>1975</v>
      </c>
      <c r="N368" s="26" t="s">
        <v>30</v>
      </c>
      <c r="O368" s="26" t="s">
        <v>30</v>
      </c>
      <c r="P368" s="26" t="s">
        <v>30</v>
      </c>
      <c r="Q368" s="24">
        <v>143000</v>
      </c>
      <c r="R368" s="26" t="str">
        <f t="shared" si="5"/>
        <v>تقديم طلب</v>
      </c>
      <c r="S368" s="32" t="s">
        <v>4340</v>
      </c>
    </row>
    <row r="369" spans="1:19" s="23" customFormat="1" ht="105" x14ac:dyDescent="0.3">
      <c r="A369" s="24" t="s">
        <v>1976</v>
      </c>
      <c r="B369" s="25" t="s">
        <v>468</v>
      </c>
      <c r="C369" s="24" t="s">
        <v>469</v>
      </c>
      <c r="D369" s="24" t="s">
        <v>1100</v>
      </c>
      <c r="E369" s="24" t="s">
        <v>1143</v>
      </c>
      <c r="F369" s="24" t="s">
        <v>1968</v>
      </c>
      <c r="G369" s="24" t="s">
        <v>1969</v>
      </c>
      <c r="H369" s="24" t="s">
        <v>1970</v>
      </c>
      <c r="I369" s="24">
        <v>338</v>
      </c>
      <c r="J369" s="24"/>
      <c r="K369" s="24"/>
      <c r="L369" s="24" t="s">
        <v>1971</v>
      </c>
      <c r="M369" s="24" t="s">
        <v>1977</v>
      </c>
      <c r="N369" s="26" t="s">
        <v>30</v>
      </c>
      <c r="O369" s="26" t="s">
        <v>30</v>
      </c>
      <c r="P369" s="26" t="str">
        <f>IF(NOT("https://maps.app.goo.gl/QQPuxL5by4DzCK8F7" = ""), HYPERLINK("https://maps.app.goo.gl/QQPuxL5by4DzCK8F7", "موقع"), "")</f>
        <v>موقع</v>
      </c>
      <c r="Q369" s="24">
        <v>143000</v>
      </c>
      <c r="R369" s="26" t="str">
        <f t="shared" si="5"/>
        <v>تقديم طلب</v>
      </c>
      <c r="S369" s="32" t="s">
        <v>4341</v>
      </c>
    </row>
    <row r="370" spans="1:19" s="23" customFormat="1" ht="105" x14ac:dyDescent="0.3">
      <c r="A370" s="24" t="s">
        <v>1978</v>
      </c>
      <c r="B370" s="25" t="s">
        <v>468</v>
      </c>
      <c r="C370" s="24" t="s">
        <v>469</v>
      </c>
      <c r="D370" s="24" t="s">
        <v>1100</v>
      </c>
      <c r="E370" s="24" t="s">
        <v>1143</v>
      </c>
      <c r="F370" s="24" t="s">
        <v>1968</v>
      </c>
      <c r="G370" s="24" t="s">
        <v>1969</v>
      </c>
      <c r="H370" s="24" t="s">
        <v>1970</v>
      </c>
      <c r="I370" s="24">
        <v>337</v>
      </c>
      <c r="J370" s="24"/>
      <c r="K370" s="24"/>
      <c r="L370" s="24" t="s">
        <v>1971</v>
      </c>
      <c r="M370" s="24" t="s">
        <v>1972</v>
      </c>
      <c r="N370" s="26" t="s">
        <v>30</v>
      </c>
      <c r="O370" s="26" t="s">
        <v>30</v>
      </c>
      <c r="P370" s="26" t="s">
        <v>30</v>
      </c>
      <c r="Q370" s="24">
        <v>143000</v>
      </c>
      <c r="R370" s="26" t="str">
        <f t="shared" si="5"/>
        <v>تقديم طلب</v>
      </c>
      <c r="S370" s="32" t="s">
        <v>4342</v>
      </c>
    </row>
    <row r="371" spans="1:19" s="23" customFormat="1" ht="105" x14ac:dyDescent="0.3">
      <c r="A371" s="24" t="s">
        <v>1979</v>
      </c>
      <c r="B371" s="25" t="s">
        <v>468</v>
      </c>
      <c r="C371" s="24" t="s">
        <v>469</v>
      </c>
      <c r="D371" s="24" t="s">
        <v>1100</v>
      </c>
      <c r="E371" s="24" t="s">
        <v>1143</v>
      </c>
      <c r="F371" s="24" t="s">
        <v>1968</v>
      </c>
      <c r="G371" s="24" t="s">
        <v>1969</v>
      </c>
      <c r="H371" s="24" t="s">
        <v>1970</v>
      </c>
      <c r="I371" s="24">
        <v>344</v>
      </c>
      <c r="J371" s="24"/>
      <c r="K371" s="24"/>
      <c r="L371" s="24" t="s">
        <v>1971</v>
      </c>
      <c r="M371" s="24" t="s">
        <v>1972</v>
      </c>
      <c r="N371" s="26" t="s">
        <v>30</v>
      </c>
      <c r="O371" s="26" t="s">
        <v>30</v>
      </c>
      <c r="P371" s="26" t="str">
        <f>IF(NOT("https://maps.app.goo.gl/dmrQD7HpjAKDWgH69" = ""), HYPERLINK("https://maps.app.goo.gl/dmrQD7HpjAKDWgH69", "موقع"), "")</f>
        <v>موقع</v>
      </c>
      <c r="Q371" s="24">
        <v>143000</v>
      </c>
      <c r="R371" s="26" t="str">
        <f t="shared" si="5"/>
        <v>تقديم طلب</v>
      </c>
      <c r="S371" s="32" t="s">
        <v>4343</v>
      </c>
    </row>
    <row r="372" spans="1:19" s="23" customFormat="1" ht="105" x14ac:dyDescent="0.3">
      <c r="A372" s="24" t="s">
        <v>1980</v>
      </c>
      <c r="B372" s="25" t="s">
        <v>468</v>
      </c>
      <c r="C372" s="24" t="s">
        <v>469</v>
      </c>
      <c r="D372" s="24" t="s">
        <v>1100</v>
      </c>
      <c r="E372" s="24" t="s">
        <v>1143</v>
      </c>
      <c r="F372" s="24" t="s">
        <v>1968</v>
      </c>
      <c r="G372" s="24" t="s">
        <v>1969</v>
      </c>
      <c r="H372" s="24" t="s">
        <v>1970</v>
      </c>
      <c r="I372" s="24">
        <v>334</v>
      </c>
      <c r="J372" s="24"/>
      <c r="K372" s="24"/>
      <c r="L372" s="24" t="s">
        <v>1974</v>
      </c>
      <c r="M372" s="24" t="s">
        <v>1975</v>
      </c>
      <c r="N372" s="26" t="s">
        <v>30</v>
      </c>
      <c r="O372" s="26" t="s">
        <v>30</v>
      </c>
      <c r="P372" s="26" t="str">
        <f>IF(NOT("https://maps.app.goo.gl/uLUMqwA51BwqkStM7" = ""), HYPERLINK("https://maps.app.goo.gl/uLUMqwA51BwqkStM7", "موقع"), "")</f>
        <v>موقع</v>
      </c>
      <c r="Q372" s="24">
        <v>143000</v>
      </c>
      <c r="R372" s="26" t="str">
        <f t="shared" si="5"/>
        <v>تقديم طلب</v>
      </c>
      <c r="S372" s="32" t="s">
        <v>4344</v>
      </c>
    </row>
    <row r="373" spans="1:19" s="23" customFormat="1" ht="105" x14ac:dyDescent="0.3">
      <c r="A373" s="24" t="s">
        <v>1967</v>
      </c>
      <c r="B373" s="25" t="s">
        <v>468</v>
      </c>
      <c r="C373" s="24" t="s">
        <v>469</v>
      </c>
      <c r="D373" s="24" t="s">
        <v>1100</v>
      </c>
      <c r="E373" s="24" t="s">
        <v>1143</v>
      </c>
      <c r="F373" s="24" t="s">
        <v>1968</v>
      </c>
      <c r="G373" s="24" t="s">
        <v>1969</v>
      </c>
      <c r="H373" s="24" t="s">
        <v>1970</v>
      </c>
      <c r="I373" s="24">
        <v>336</v>
      </c>
      <c r="J373" s="24">
        <v>0</v>
      </c>
      <c r="K373" s="24"/>
      <c r="L373" s="24" t="s">
        <v>1971</v>
      </c>
      <c r="M373" s="24" t="s">
        <v>1972</v>
      </c>
      <c r="N373" s="26" t="s">
        <v>30</v>
      </c>
      <c r="O373" s="26" t="s">
        <v>30</v>
      </c>
      <c r="P373" s="26" t="str">
        <f>IF(NOT("https://maps.app.goo.gl/jvgU1UXEWfvHr3Jj6" = ""), HYPERLINK("https://maps.app.goo.gl/jvgU1UXEWfvHr3Jj6", "موقع"), "")</f>
        <v>موقع</v>
      </c>
      <c r="Q373" s="24">
        <v>122000</v>
      </c>
      <c r="R373" s="26" t="str">
        <f t="shared" si="5"/>
        <v>تقديم طلب</v>
      </c>
      <c r="S373" s="32" t="s">
        <v>4345</v>
      </c>
    </row>
    <row r="374" spans="1:19" s="23" customFormat="1" ht="105" x14ac:dyDescent="0.3">
      <c r="A374" s="24" t="s">
        <v>1964</v>
      </c>
      <c r="B374" s="25" t="s">
        <v>468</v>
      </c>
      <c r="C374" s="24" t="s">
        <v>469</v>
      </c>
      <c r="D374" s="24" t="s">
        <v>1100</v>
      </c>
      <c r="E374" s="24" t="s">
        <v>1143</v>
      </c>
      <c r="F374" s="24" t="s">
        <v>1153</v>
      </c>
      <c r="G374" s="24" t="s">
        <v>1647</v>
      </c>
      <c r="H374" s="24" t="s">
        <v>1209</v>
      </c>
      <c r="I374" s="24">
        <v>968</v>
      </c>
      <c r="J374" s="24">
        <v>0</v>
      </c>
      <c r="K374" s="24"/>
      <c r="L374" s="24" t="s">
        <v>1965</v>
      </c>
      <c r="M374" s="24" t="s">
        <v>1966</v>
      </c>
      <c r="N374" s="26" t="s">
        <v>30</v>
      </c>
      <c r="O374" s="26" t="s">
        <v>30</v>
      </c>
      <c r="P374" s="26" t="str">
        <f>IF(NOT("https://maps.app.goo.gl/WBUQqXA4gLND48kUA" = ""), HYPERLINK("https://maps.app.goo.gl/WBUQqXA4gLND48kUA", "موقع"), "")</f>
        <v>موقع</v>
      </c>
      <c r="Q374" s="24">
        <v>71000</v>
      </c>
      <c r="R374" s="26" t="str">
        <f t="shared" si="5"/>
        <v>تقديم طلب</v>
      </c>
      <c r="S374" s="32" t="s">
        <v>4346</v>
      </c>
    </row>
    <row r="375" spans="1:19" s="23" customFormat="1" ht="105" x14ac:dyDescent="0.3">
      <c r="A375" s="24" t="s">
        <v>1960</v>
      </c>
      <c r="B375" s="25" t="s">
        <v>468</v>
      </c>
      <c r="C375" s="24" t="s">
        <v>469</v>
      </c>
      <c r="D375" s="24" t="s">
        <v>1100</v>
      </c>
      <c r="E375" s="24" t="s">
        <v>1263</v>
      </c>
      <c r="F375" s="24" t="s">
        <v>1264</v>
      </c>
      <c r="G375" s="24" t="s">
        <v>1961</v>
      </c>
      <c r="H375" s="24" t="s">
        <v>1919</v>
      </c>
      <c r="I375" s="24">
        <v>555</v>
      </c>
      <c r="J375" s="24"/>
      <c r="K375" s="24"/>
      <c r="L375" s="24" t="s">
        <v>1962</v>
      </c>
      <c r="M375" s="24" t="s">
        <v>1963</v>
      </c>
      <c r="N375" s="26" t="s">
        <v>30</v>
      </c>
      <c r="O375" s="26" t="s">
        <v>30</v>
      </c>
      <c r="P375" s="26" t="str">
        <f>IF(NOT("https://maps.app.goo.gl/Cs5hvB6k2yuN8GMH6" = ""), HYPERLINK("https://maps.app.goo.gl/Cs5hvB6k2yuN8GMH6", "موقع"), "")</f>
        <v>موقع</v>
      </c>
      <c r="Q375" s="24">
        <v>69000</v>
      </c>
      <c r="R375" s="26" t="str">
        <f t="shared" si="5"/>
        <v>تقديم طلب</v>
      </c>
      <c r="S375" s="32" t="s">
        <v>4347</v>
      </c>
    </row>
    <row r="376" spans="1:19" s="23" customFormat="1" ht="180" x14ac:dyDescent="0.3">
      <c r="A376" s="24" t="s">
        <v>1958</v>
      </c>
      <c r="B376" s="25" t="s">
        <v>468</v>
      </c>
      <c r="C376" s="24" t="s">
        <v>469</v>
      </c>
      <c r="D376" s="24" t="s">
        <v>1100</v>
      </c>
      <c r="E376" s="24" t="s">
        <v>1263</v>
      </c>
      <c r="F376" s="24" t="s">
        <v>1309</v>
      </c>
      <c r="G376" s="24" t="s">
        <v>84</v>
      </c>
      <c r="H376" s="24" t="s">
        <v>1311</v>
      </c>
      <c r="I376" s="24">
        <v>96</v>
      </c>
      <c r="J376" s="24">
        <v>0</v>
      </c>
      <c r="K376" s="24"/>
      <c r="L376" s="24" t="s">
        <v>1845</v>
      </c>
      <c r="M376" s="24" t="s">
        <v>1959</v>
      </c>
      <c r="N376" s="26" t="s">
        <v>30</v>
      </c>
      <c r="O376" s="26" t="s">
        <v>30</v>
      </c>
      <c r="P376" s="26" t="str">
        <f>IF(NOT("https://maps.app.goo.gl/YPSQLb655B6h7NoW7" = ""), HYPERLINK("https://maps.app.goo.gl/YPSQLb655B6h7NoW7", "موقع"), "")</f>
        <v>موقع</v>
      </c>
      <c r="Q376" s="24">
        <v>63000</v>
      </c>
      <c r="R376" s="26" t="str">
        <f t="shared" si="5"/>
        <v>تقديم طلب</v>
      </c>
      <c r="S376" s="32" t="s">
        <v>4348</v>
      </c>
    </row>
    <row r="377" spans="1:19" s="23" customFormat="1" ht="105" x14ac:dyDescent="0.3">
      <c r="A377" s="24" t="s">
        <v>1956</v>
      </c>
      <c r="B377" s="25" t="s">
        <v>468</v>
      </c>
      <c r="C377" s="24" t="s">
        <v>469</v>
      </c>
      <c r="D377" s="24" t="s">
        <v>1100</v>
      </c>
      <c r="E377" s="24" t="s">
        <v>1143</v>
      </c>
      <c r="F377" s="24" t="s">
        <v>1865</v>
      </c>
      <c r="G377" s="24" t="s">
        <v>1944</v>
      </c>
      <c r="H377" s="24" t="s">
        <v>1867</v>
      </c>
      <c r="I377" s="24">
        <v>370</v>
      </c>
      <c r="J377" s="24"/>
      <c r="K377" s="24"/>
      <c r="L377" s="24" t="s">
        <v>1952</v>
      </c>
      <c r="M377" s="24" t="s">
        <v>1953</v>
      </c>
      <c r="N377" s="26" t="s">
        <v>30</v>
      </c>
      <c r="O377" s="26" t="s">
        <v>30</v>
      </c>
      <c r="P377" s="26" t="str">
        <f>IF(NOT("https://maps.app.goo.gl/U66AiAFSv7aRNDwH6" = ""), HYPERLINK("https://maps.app.goo.gl/U66AiAFSv7aRNDwH6", "موقع"), "")</f>
        <v>موقع</v>
      </c>
      <c r="Q377" s="24">
        <v>57000</v>
      </c>
      <c r="R377" s="26" t="str">
        <f t="shared" si="5"/>
        <v>تقديم طلب</v>
      </c>
      <c r="S377" s="32" t="s">
        <v>4349</v>
      </c>
    </row>
    <row r="378" spans="1:19" s="23" customFormat="1" ht="105" x14ac:dyDescent="0.3">
      <c r="A378" s="24" t="s">
        <v>1957</v>
      </c>
      <c r="B378" s="25" t="s">
        <v>468</v>
      </c>
      <c r="C378" s="24" t="s">
        <v>469</v>
      </c>
      <c r="D378" s="24" t="s">
        <v>1100</v>
      </c>
      <c r="E378" s="24" t="s">
        <v>1143</v>
      </c>
      <c r="F378" s="24" t="s">
        <v>1865</v>
      </c>
      <c r="G378" s="24" t="s">
        <v>1944</v>
      </c>
      <c r="H378" s="24" t="s">
        <v>1867</v>
      </c>
      <c r="I378" s="24">
        <v>374</v>
      </c>
      <c r="J378" s="24"/>
      <c r="K378" s="24"/>
      <c r="L378" s="24" t="s">
        <v>1952</v>
      </c>
      <c r="M378" s="24" t="s">
        <v>1953</v>
      </c>
      <c r="N378" s="26" t="s">
        <v>30</v>
      </c>
      <c r="O378" s="26" t="s">
        <v>30</v>
      </c>
      <c r="P378" s="26" t="str">
        <f>IF(NOT("https://maps.app.goo.gl/zFHBHzz42MZHGNa2A" = ""), HYPERLINK("https://maps.app.goo.gl/zFHBHzz42MZHGNa2A", "موقع"), "")</f>
        <v>موقع</v>
      </c>
      <c r="Q378" s="24">
        <v>57000</v>
      </c>
      <c r="R378" s="26" t="str">
        <f t="shared" si="5"/>
        <v>تقديم طلب</v>
      </c>
      <c r="S378" s="32" t="s">
        <v>4350</v>
      </c>
    </row>
    <row r="379" spans="1:19" s="23" customFormat="1" ht="105" x14ac:dyDescent="0.3">
      <c r="A379" s="24" t="s">
        <v>1951</v>
      </c>
      <c r="B379" s="25" t="s">
        <v>468</v>
      </c>
      <c r="C379" s="24" t="s">
        <v>469</v>
      </c>
      <c r="D379" s="24" t="s">
        <v>1100</v>
      </c>
      <c r="E379" s="24" t="s">
        <v>1143</v>
      </c>
      <c r="F379" s="24" t="s">
        <v>1865</v>
      </c>
      <c r="G379" s="24" t="s">
        <v>1944</v>
      </c>
      <c r="H379" s="24" t="s">
        <v>1867</v>
      </c>
      <c r="I379" s="24">
        <v>372</v>
      </c>
      <c r="J379" s="24">
        <v>0</v>
      </c>
      <c r="K379" s="24"/>
      <c r="L379" s="24" t="s">
        <v>1952</v>
      </c>
      <c r="M379" s="24" t="s">
        <v>1953</v>
      </c>
      <c r="N379" s="26" t="s">
        <v>30</v>
      </c>
      <c r="O379" s="26" t="s">
        <v>30</v>
      </c>
      <c r="P379" s="26" t="str">
        <f>IF(NOT("https://maps.app.goo.gl/quRGiowxTBpUyEtaA" = ""), HYPERLINK("https://maps.app.goo.gl/quRGiowxTBpUyEtaA", "موقع"), "")</f>
        <v>موقع</v>
      </c>
      <c r="Q379" s="24">
        <v>52000</v>
      </c>
      <c r="R379" s="26" t="str">
        <f t="shared" si="5"/>
        <v>تقديم طلب</v>
      </c>
      <c r="S379" s="32" t="s">
        <v>4351</v>
      </c>
    </row>
    <row r="380" spans="1:19" s="23" customFormat="1" ht="105" x14ac:dyDescent="0.3">
      <c r="A380" s="24" t="s">
        <v>1954</v>
      </c>
      <c r="B380" s="25" t="s">
        <v>468</v>
      </c>
      <c r="C380" s="24" t="s">
        <v>469</v>
      </c>
      <c r="D380" s="24" t="s">
        <v>1100</v>
      </c>
      <c r="E380" s="24" t="s">
        <v>1143</v>
      </c>
      <c r="F380" s="24" t="s">
        <v>1865</v>
      </c>
      <c r="G380" s="24" t="s">
        <v>1944</v>
      </c>
      <c r="H380" s="24" t="s">
        <v>1867</v>
      </c>
      <c r="I380" s="24">
        <v>371</v>
      </c>
      <c r="J380" s="24"/>
      <c r="K380" s="24"/>
      <c r="L380" s="24" t="s">
        <v>1952</v>
      </c>
      <c r="M380" s="24" t="s">
        <v>1953</v>
      </c>
      <c r="N380" s="26" t="s">
        <v>30</v>
      </c>
      <c r="O380" s="26" t="s">
        <v>30</v>
      </c>
      <c r="P380" s="26" t="s">
        <v>30</v>
      </c>
      <c r="Q380" s="24">
        <v>52000</v>
      </c>
      <c r="R380" s="26" t="str">
        <f t="shared" si="5"/>
        <v>تقديم طلب</v>
      </c>
      <c r="S380" s="32" t="s">
        <v>4352</v>
      </c>
    </row>
    <row r="381" spans="1:19" s="23" customFormat="1" ht="105" x14ac:dyDescent="0.3">
      <c r="A381" s="24" t="s">
        <v>1955</v>
      </c>
      <c r="B381" s="25" t="s">
        <v>468</v>
      </c>
      <c r="C381" s="24" t="s">
        <v>469</v>
      </c>
      <c r="D381" s="24" t="s">
        <v>1100</v>
      </c>
      <c r="E381" s="24" t="s">
        <v>1143</v>
      </c>
      <c r="F381" s="24" t="s">
        <v>1865</v>
      </c>
      <c r="G381" s="24" t="s">
        <v>1944</v>
      </c>
      <c r="H381" s="24" t="s">
        <v>1867</v>
      </c>
      <c r="I381" s="24">
        <v>373</v>
      </c>
      <c r="J381" s="24"/>
      <c r="K381" s="24"/>
      <c r="L381" s="24" t="s">
        <v>1952</v>
      </c>
      <c r="M381" s="24" t="s">
        <v>1953</v>
      </c>
      <c r="N381" s="26" t="s">
        <v>30</v>
      </c>
      <c r="O381" s="26" t="s">
        <v>30</v>
      </c>
      <c r="P381" s="26" t="str">
        <f>IF(NOT("https://maps.app.goo.gl/SPn5LMUHdYbS6B7u8" = ""), HYPERLINK("https://maps.app.goo.gl/SPn5LMUHdYbS6B7u8", "موقع"), "")</f>
        <v>موقع</v>
      </c>
      <c r="Q381" s="24">
        <v>52000</v>
      </c>
      <c r="R381" s="26" t="str">
        <f t="shared" si="5"/>
        <v>تقديم طلب</v>
      </c>
      <c r="S381" s="32" t="s">
        <v>4353</v>
      </c>
    </row>
    <row r="382" spans="1:19" s="23" customFormat="1" ht="105" x14ac:dyDescent="0.3">
      <c r="A382" s="24" t="s">
        <v>1943</v>
      </c>
      <c r="B382" s="25" t="s">
        <v>468</v>
      </c>
      <c r="C382" s="24" t="s">
        <v>469</v>
      </c>
      <c r="D382" s="24" t="s">
        <v>1100</v>
      </c>
      <c r="E382" s="24" t="s">
        <v>1143</v>
      </c>
      <c r="F382" s="24" t="s">
        <v>1865</v>
      </c>
      <c r="G382" s="24" t="s">
        <v>1944</v>
      </c>
      <c r="H382" s="24" t="s">
        <v>1867</v>
      </c>
      <c r="I382" s="24">
        <v>369</v>
      </c>
      <c r="J382" s="24"/>
      <c r="K382" s="24"/>
      <c r="L382" s="24" t="s">
        <v>1945</v>
      </c>
      <c r="M382" s="24" t="s">
        <v>1946</v>
      </c>
      <c r="N382" s="26" t="s">
        <v>30</v>
      </c>
      <c r="O382" s="26" t="s">
        <v>30</v>
      </c>
      <c r="P382" s="26" t="str">
        <f>IF(NOT("https://maps.app.goo.gl/ctoAw4Jkaa46Hgc4A" = ""), HYPERLINK("https://maps.app.goo.gl/ctoAw4Jkaa46Hgc4A", "موقع"), "")</f>
        <v>موقع</v>
      </c>
      <c r="Q382" s="24">
        <v>43000</v>
      </c>
      <c r="R382" s="26" t="str">
        <f t="shared" si="5"/>
        <v>تقديم طلب</v>
      </c>
      <c r="S382" s="32" t="s">
        <v>4354</v>
      </c>
    </row>
    <row r="383" spans="1:19" s="23" customFormat="1" ht="105" x14ac:dyDescent="0.3">
      <c r="A383" s="24" t="s">
        <v>1947</v>
      </c>
      <c r="B383" s="25" t="s">
        <v>468</v>
      </c>
      <c r="C383" s="24" t="s">
        <v>469</v>
      </c>
      <c r="D383" s="24" t="s">
        <v>1100</v>
      </c>
      <c r="E383" s="24" t="s">
        <v>1143</v>
      </c>
      <c r="F383" s="24" t="s">
        <v>1865</v>
      </c>
      <c r="G383" s="24" t="s">
        <v>1944</v>
      </c>
      <c r="H383" s="24" t="s">
        <v>1867</v>
      </c>
      <c r="I383" s="24">
        <v>366</v>
      </c>
      <c r="J383" s="24">
        <v>0</v>
      </c>
      <c r="K383" s="24"/>
      <c r="L383" s="24" t="s">
        <v>1945</v>
      </c>
      <c r="M383" s="24" t="s">
        <v>1946</v>
      </c>
      <c r="N383" s="26" t="s">
        <v>30</v>
      </c>
      <c r="O383" s="26" t="s">
        <v>30</v>
      </c>
      <c r="P383" s="26" t="str">
        <f>IF(NOT("https://maps.app.goo.gl/G2fb3rHM3ERigRXU6" = ""), HYPERLINK("https://maps.app.goo.gl/G2fb3rHM3ERigRXU6", "موقع"), "")</f>
        <v>موقع</v>
      </c>
      <c r="Q383" s="24">
        <v>43000</v>
      </c>
      <c r="R383" s="26" t="str">
        <f t="shared" si="5"/>
        <v>تقديم طلب</v>
      </c>
      <c r="S383" s="32" t="s">
        <v>4355</v>
      </c>
    </row>
    <row r="384" spans="1:19" s="23" customFormat="1" ht="105" x14ac:dyDescent="0.3">
      <c r="A384" s="24" t="s">
        <v>1948</v>
      </c>
      <c r="B384" s="25" t="s">
        <v>468</v>
      </c>
      <c r="C384" s="24" t="s">
        <v>469</v>
      </c>
      <c r="D384" s="24" t="s">
        <v>1100</v>
      </c>
      <c r="E384" s="24" t="s">
        <v>1143</v>
      </c>
      <c r="F384" s="24" t="s">
        <v>1865</v>
      </c>
      <c r="G384" s="24" t="s">
        <v>1944</v>
      </c>
      <c r="H384" s="24" t="s">
        <v>1867</v>
      </c>
      <c r="I384" s="24">
        <v>368</v>
      </c>
      <c r="J384" s="24">
        <v>0</v>
      </c>
      <c r="K384" s="24"/>
      <c r="L384" s="24" t="s">
        <v>1945</v>
      </c>
      <c r="M384" s="24" t="s">
        <v>1946</v>
      </c>
      <c r="N384" s="26" t="s">
        <v>30</v>
      </c>
      <c r="O384" s="26" t="s">
        <v>30</v>
      </c>
      <c r="P384" s="26" t="str">
        <f>IF(NOT("https://maps.app.goo.gl/MsMohh799Nax7peE9" = ""), HYPERLINK("https://maps.app.goo.gl/MsMohh799Nax7peE9", "موقع"), "")</f>
        <v>موقع</v>
      </c>
      <c r="Q384" s="24">
        <v>43000</v>
      </c>
      <c r="R384" s="26" t="str">
        <f t="shared" si="5"/>
        <v>تقديم طلب</v>
      </c>
      <c r="S384" s="32" t="s">
        <v>4356</v>
      </c>
    </row>
    <row r="385" spans="1:19" s="23" customFormat="1" ht="105" x14ac:dyDescent="0.3">
      <c r="A385" s="24" t="s">
        <v>1949</v>
      </c>
      <c r="B385" s="25" t="s">
        <v>468</v>
      </c>
      <c r="C385" s="24" t="s">
        <v>469</v>
      </c>
      <c r="D385" s="24" t="s">
        <v>1100</v>
      </c>
      <c r="E385" s="24" t="s">
        <v>1143</v>
      </c>
      <c r="F385" s="24" t="s">
        <v>1865</v>
      </c>
      <c r="G385" s="24" t="s">
        <v>1944</v>
      </c>
      <c r="H385" s="24" t="s">
        <v>1867</v>
      </c>
      <c r="I385" s="24">
        <v>365</v>
      </c>
      <c r="J385" s="24"/>
      <c r="K385" s="24"/>
      <c r="L385" s="24" t="s">
        <v>1945</v>
      </c>
      <c r="M385" s="24" t="s">
        <v>1946</v>
      </c>
      <c r="N385" s="26" t="s">
        <v>30</v>
      </c>
      <c r="O385" s="26" t="s">
        <v>30</v>
      </c>
      <c r="P385" s="26" t="str">
        <f>IF(NOT("https://maps.app.goo.gl/DLkn8jXwXZdZCBnZ7" = ""), HYPERLINK("https://maps.app.goo.gl/DLkn8jXwXZdZCBnZ7", "موقع"), "")</f>
        <v>موقع</v>
      </c>
      <c r="Q385" s="24">
        <v>43000</v>
      </c>
      <c r="R385" s="26" t="str">
        <f t="shared" si="5"/>
        <v>تقديم طلب</v>
      </c>
      <c r="S385" s="32" t="s">
        <v>4357</v>
      </c>
    </row>
    <row r="386" spans="1:19" s="23" customFormat="1" ht="105" x14ac:dyDescent="0.3">
      <c r="A386" s="24" t="s">
        <v>1950</v>
      </c>
      <c r="B386" s="25" t="s">
        <v>468</v>
      </c>
      <c r="C386" s="24" t="s">
        <v>469</v>
      </c>
      <c r="D386" s="24" t="s">
        <v>1100</v>
      </c>
      <c r="E386" s="24" t="s">
        <v>1143</v>
      </c>
      <c r="F386" s="24" t="s">
        <v>1865</v>
      </c>
      <c r="G386" s="24" t="s">
        <v>1944</v>
      </c>
      <c r="H386" s="24" t="s">
        <v>1867</v>
      </c>
      <c r="I386" s="24">
        <v>367</v>
      </c>
      <c r="J386" s="24"/>
      <c r="K386" s="24"/>
      <c r="L386" s="24" t="s">
        <v>1945</v>
      </c>
      <c r="M386" s="24" t="s">
        <v>1946</v>
      </c>
      <c r="N386" s="26" t="s">
        <v>30</v>
      </c>
      <c r="O386" s="26" t="s">
        <v>30</v>
      </c>
      <c r="P386" s="26" t="str">
        <f>IF(NOT("https://maps.app.goo.gl/QKNp28Eedx1nXDfQ7" = ""), HYPERLINK("https://maps.app.goo.gl/QKNp28Eedx1nXDfQ7", "موقع"), "")</f>
        <v>موقع</v>
      </c>
      <c r="Q386" s="24">
        <v>43000</v>
      </c>
      <c r="R386" s="26" t="str">
        <f t="shared" si="5"/>
        <v>تقديم طلب</v>
      </c>
      <c r="S386" s="32" t="s">
        <v>4358</v>
      </c>
    </row>
    <row r="387" spans="1:19" s="23" customFormat="1" ht="90" x14ac:dyDescent="0.3">
      <c r="A387" s="24" t="s">
        <v>1940</v>
      </c>
      <c r="B387" s="25" t="s">
        <v>468</v>
      </c>
      <c r="C387" s="24" t="s">
        <v>469</v>
      </c>
      <c r="D387" s="24" t="s">
        <v>1100</v>
      </c>
      <c r="E387" s="24" t="s">
        <v>1143</v>
      </c>
      <c r="F387" s="24" t="s">
        <v>1153</v>
      </c>
      <c r="G387" s="24" t="s">
        <v>1356</v>
      </c>
      <c r="H387" s="24" t="s">
        <v>1357</v>
      </c>
      <c r="I387" s="24">
        <v>2179</v>
      </c>
      <c r="J387" s="24">
        <v>0</v>
      </c>
      <c r="K387" s="24"/>
      <c r="L387" s="24" t="s">
        <v>1941</v>
      </c>
      <c r="M387" s="24" t="s">
        <v>1942</v>
      </c>
      <c r="N387" s="26" t="s">
        <v>30</v>
      </c>
      <c r="O387" s="26" t="s">
        <v>30</v>
      </c>
      <c r="P387" s="26" t="str">
        <f>IF(NOT("https://maps.app.goo.gl/gqfMFVdFKwuCKU136" = ""), HYPERLINK("https://maps.app.goo.gl/gqfMFVdFKwuCKU136", "موقع"), "")</f>
        <v>موقع</v>
      </c>
      <c r="Q387" s="24">
        <v>42000</v>
      </c>
      <c r="R387" s="26" t="str">
        <f t="shared" si="5"/>
        <v>تقديم طلب</v>
      </c>
      <c r="S387" s="32" t="s">
        <v>4359</v>
      </c>
    </row>
    <row r="388" spans="1:19" s="23" customFormat="1" ht="90" x14ac:dyDescent="0.3">
      <c r="A388" s="24" t="s">
        <v>1936</v>
      </c>
      <c r="B388" s="25" t="s">
        <v>468</v>
      </c>
      <c r="C388" s="24" t="s">
        <v>469</v>
      </c>
      <c r="D388" s="24" t="s">
        <v>1100</v>
      </c>
      <c r="E388" s="24" t="s">
        <v>1143</v>
      </c>
      <c r="F388" s="24" t="s">
        <v>1810</v>
      </c>
      <c r="G388" s="24" t="s">
        <v>1937</v>
      </c>
      <c r="H388" s="24" t="s">
        <v>1146</v>
      </c>
      <c r="I388" s="24">
        <v>486</v>
      </c>
      <c r="J388" s="24">
        <v>0</v>
      </c>
      <c r="K388" s="24"/>
      <c r="L388" s="24" t="s">
        <v>1938</v>
      </c>
      <c r="M388" s="24" t="s">
        <v>1939</v>
      </c>
      <c r="N388" s="26" t="s">
        <v>30</v>
      </c>
      <c r="O388" s="26" t="s">
        <v>30</v>
      </c>
      <c r="P388" s="26" t="str">
        <f>IF(NOT("https://maps.app.goo.gl/oadyidXTo78f7Y3T8" = ""), HYPERLINK("https://maps.app.goo.gl/oadyidXTo78f7Y3T8", "موقع"), "")</f>
        <v>موقع</v>
      </c>
      <c r="Q388" s="24">
        <v>40000</v>
      </c>
      <c r="R388" s="26" t="str">
        <f t="shared" ref="R388:R451" si="6">HYPERLINK(S388,"تقديم طلب")</f>
        <v>تقديم طلب</v>
      </c>
      <c r="S388" s="32" t="s">
        <v>4360</v>
      </c>
    </row>
    <row r="389" spans="1:19" s="23" customFormat="1" ht="105" x14ac:dyDescent="0.3">
      <c r="A389" s="24" t="s">
        <v>1933</v>
      </c>
      <c r="B389" s="25" t="s">
        <v>468</v>
      </c>
      <c r="C389" s="24" t="s">
        <v>469</v>
      </c>
      <c r="D389" s="24" t="s">
        <v>1100</v>
      </c>
      <c r="E389" s="24" t="s">
        <v>1143</v>
      </c>
      <c r="F389" s="24" t="s">
        <v>1801</v>
      </c>
      <c r="G389" s="24" t="s">
        <v>1911</v>
      </c>
      <c r="H389" s="24" t="s">
        <v>1803</v>
      </c>
      <c r="I389" s="24">
        <v>74</v>
      </c>
      <c r="J389" s="24">
        <v>0</v>
      </c>
      <c r="K389" s="24"/>
      <c r="L389" s="24" t="s">
        <v>1934</v>
      </c>
      <c r="M389" s="24" t="s">
        <v>1935</v>
      </c>
      <c r="N389" s="26" t="s">
        <v>30</v>
      </c>
      <c r="O389" s="26" t="s">
        <v>30</v>
      </c>
      <c r="P389" s="26" t="str">
        <f>IF(NOT("https://maps.app.goo.gl/v9f3f9AzTj5z6k2M8" = ""), HYPERLINK("https://maps.app.goo.gl/v9f3f9AzTj5z6k2M8", "موقع"), "")</f>
        <v>موقع</v>
      </c>
      <c r="Q389" s="24">
        <v>31000</v>
      </c>
      <c r="R389" s="26" t="str">
        <f t="shared" si="6"/>
        <v>تقديم طلب</v>
      </c>
      <c r="S389" s="32" t="s">
        <v>4361</v>
      </c>
    </row>
    <row r="390" spans="1:19" s="23" customFormat="1" ht="90" x14ac:dyDescent="0.3">
      <c r="A390" s="24" t="s">
        <v>1930</v>
      </c>
      <c r="B390" s="25" t="s">
        <v>468</v>
      </c>
      <c r="C390" s="24" t="s">
        <v>469</v>
      </c>
      <c r="D390" s="24" t="s">
        <v>1100</v>
      </c>
      <c r="E390" s="24" t="s">
        <v>1263</v>
      </c>
      <c r="F390" s="24" t="s">
        <v>1309</v>
      </c>
      <c r="G390" s="24" t="s">
        <v>1918</v>
      </c>
      <c r="H390" s="24" t="s">
        <v>1311</v>
      </c>
      <c r="I390" s="24">
        <v>404</v>
      </c>
      <c r="J390" s="24">
        <v>0</v>
      </c>
      <c r="K390" s="24"/>
      <c r="L390" s="24" t="s">
        <v>1931</v>
      </c>
      <c r="M390" s="24" t="s">
        <v>1932</v>
      </c>
      <c r="N390" s="26" t="s">
        <v>30</v>
      </c>
      <c r="O390" s="26" t="s">
        <v>30</v>
      </c>
      <c r="P390" s="26" t="s">
        <v>30</v>
      </c>
      <c r="Q390" s="24">
        <v>29000</v>
      </c>
      <c r="R390" s="26" t="str">
        <f t="shared" si="6"/>
        <v>تقديم طلب</v>
      </c>
      <c r="S390" s="32" t="s">
        <v>4362</v>
      </c>
    </row>
    <row r="391" spans="1:19" s="23" customFormat="1" ht="105" x14ac:dyDescent="0.3">
      <c r="A391" s="24" t="s">
        <v>1927</v>
      </c>
      <c r="B391" s="25" t="s">
        <v>468</v>
      </c>
      <c r="C391" s="24" t="s">
        <v>469</v>
      </c>
      <c r="D391" s="24" t="s">
        <v>1100</v>
      </c>
      <c r="E391" s="24" t="s">
        <v>1143</v>
      </c>
      <c r="F391" s="24" t="s">
        <v>1801</v>
      </c>
      <c r="G391" s="24" t="s">
        <v>1911</v>
      </c>
      <c r="H391" s="24" t="s">
        <v>1803</v>
      </c>
      <c r="I391" s="24">
        <v>45</v>
      </c>
      <c r="J391" s="24">
        <v>0</v>
      </c>
      <c r="K391" s="24"/>
      <c r="L391" s="24" t="s">
        <v>1928</v>
      </c>
      <c r="M391" s="24" t="s">
        <v>1929</v>
      </c>
      <c r="N391" s="26" t="s">
        <v>30</v>
      </c>
      <c r="O391" s="26" t="s">
        <v>30</v>
      </c>
      <c r="P391" s="26" t="str">
        <f>IF(NOT("https://maps.app.goo.gl/MnzGw7gXvVmfvBmLA" = ""), HYPERLINK("https://maps.app.goo.gl/MnzGw7gXvVmfvBmLA", "موقع"), "")</f>
        <v>موقع</v>
      </c>
      <c r="Q391" s="24">
        <v>27000</v>
      </c>
      <c r="R391" s="26" t="str">
        <f t="shared" si="6"/>
        <v>تقديم طلب</v>
      </c>
      <c r="S391" s="32" t="s">
        <v>4363</v>
      </c>
    </row>
    <row r="392" spans="1:19" s="23" customFormat="1" ht="105" x14ac:dyDescent="0.3">
      <c r="A392" s="24" t="s">
        <v>1924</v>
      </c>
      <c r="B392" s="25" t="s">
        <v>468</v>
      </c>
      <c r="C392" s="24" t="s">
        <v>469</v>
      </c>
      <c r="D392" s="24" t="s">
        <v>1100</v>
      </c>
      <c r="E392" s="24" t="s">
        <v>1143</v>
      </c>
      <c r="F392" s="24" t="s">
        <v>1801</v>
      </c>
      <c r="G392" s="24" t="s">
        <v>1911</v>
      </c>
      <c r="H392" s="24" t="s">
        <v>1803</v>
      </c>
      <c r="I392" s="24">
        <v>70</v>
      </c>
      <c r="J392" s="24">
        <v>0</v>
      </c>
      <c r="K392" s="24"/>
      <c r="L392" s="24" t="s">
        <v>1925</v>
      </c>
      <c r="M392" s="24" t="s">
        <v>1926</v>
      </c>
      <c r="N392" s="26" t="s">
        <v>30</v>
      </c>
      <c r="O392" s="26" t="s">
        <v>30</v>
      </c>
      <c r="P392" s="26" t="str">
        <f>IF(NOT("https://maps.app.goo.gl/LjLqjmFroMsT1p427" = ""), HYPERLINK("https://maps.app.goo.gl/LjLqjmFroMsT1p427", "موقع"), "")</f>
        <v>موقع</v>
      </c>
      <c r="Q392" s="24">
        <v>25000</v>
      </c>
      <c r="R392" s="26" t="str">
        <f t="shared" si="6"/>
        <v>تقديم طلب</v>
      </c>
      <c r="S392" s="32" t="s">
        <v>4364</v>
      </c>
    </row>
    <row r="393" spans="1:19" s="23" customFormat="1" ht="90" x14ac:dyDescent="0.3">
      <c r="A393" s="24" t="s">
        <v>1917</v>
      </c>
      <c r="B393" s="25" t="s">
        <v>468</v>
      </c>
      <c r="C393" s="24" t="s">
        <v>469</v>
      </c>
      <c r="D393" s="24" t="s">
        <v>1100</v>
      </c>
      <c r="E393" s="24" t="s">
        <v>1263</v>
      </c>
      <c r="F393" s="24" t="s">
        <v>1309</v>
      </c>
      <c r="G393" s="24" t="s">
        <v>1918</v>
      </c>
      <c r="H393" s="24" t="s">
        <v>1919</v>
      </c>
      <c r="I393" s="24">
        <v>397</v>
      </c>
      <c r="J393" s="24">
        <v>0</v>
      </c>
      <c r="K393" s="24"/>
      <c r="L393" s="24" t="s">
        <v>1920</v>
      </c>
      <c r="M393" s="24" t="s">
        <v>1921</v>
      </c>
      <c r="N393" s="26" t="s">
        <v>30</v>
      </c>
      <c r="O393" s="26" t="s">
        <v>30</v>
      </c>
      <c r="P393" s="26" t="s">
        <v>30</v>
      </c>
      <c r="Q393" s="24">
        <v>23000</v>
      </c>
      <c r="R393" s="26" t="str">
        <f t="shared" si="6"/>
        <v>تقديم طلب</v>
      </c>
      <c r="S393" s="32" t="s">
        <v>4365</v>
      </c>
    </row>
    <row r="394" spans="1:19" s="23" customFormat="1" ht="105" x14ac:dyDescent="0.3">
      <c r="A394" s="24" t="s">
        <v>1922</v>
      </c>
      <c r="B394" s="25" t="s">
        <v>468</v>
      </c>
      <c r="C394" s="24" t="s">
        <v>469</v>
      </c>
      <c r="D394" s="24" t="s">
        <v>1100</v>
      </c>
      <c r="E394" s="24" t="s">
        <v>1143</v>
      </c>
      <c r="F394" s="24" t="s">
        <v>1801</v>
      </c>
      <c r="G394" s="24" t="s">
        <v>1911</v>
      </c>
      <c r="H394" s="24" t="s">
        <v>1803</v>
      </c>
      <c r="I394" s="24">
        <v>61</v>
      </c>
      <c r="J394" s="24">
        <v>0</v>
      </c>
      <c r="K394" s="24"/>
      <c r="L394" s="24" t="s">
        <v>1054</v>
      </c>
      <c r="M394" s="24" t="s">
        <v>1923</v>
      </c>
      <c r="N394" s="26" t="s">
        <v>30</v>
      </c>
      <c r="O394" s="26" t="s">
        <v>30</v>
      </c>
      <c r="P394" s="26" t="str">
        <f>IF(NOT("https://maps.app.goo.gl/jYJ6GS7CYZLeL1ci8" = ""), HYPERLINK("https://maps.app.goo.gl/jYJ6GS7CYZLeL1ci8", "موقع"), "")</f>
        <v>موقع</v>
      </c>
      <c r="Q394" s="24">
        <v>23000</v>
      </c>
      <c r="R394" s="26" t="str">
        <f t="shared" si="6"/>
        <v>تقديم طلب</v>
      </c>
      <c r="S394" s="32" t="s">
        <v>4366</v>
      </c>
    </row>
    <row r="395" spans="1:19" s="23" customFormat="1" ht="105" x14ac:dyDescent="0.3">
      <c r="A395" s="24" t="s">
        <v>1914</v>
      </c>
      <c r="B395" s="25" t="s">
        <v>468</v>
      </c>
      <c r="C395" s="24" t="s">
        <v>469</v>
      </c>
      <c r="D395" s="24" t="s">
        <v>1100</v>
      </c>
      <c r="E395" s="24" t="s">
        <v>1143</v>
      </c>
      <c r="F395" s="24" t="s">
        <v>1801</v>
      </c>
      <c r="G395" s="24" t="s">
        <v>1911</v>
      </c>
      <c r="H395" s="24" t="s">
        <v>1803</v>
      </c>
      <c r="I395" s="24">
        <v>80</v>
      </c>
      <c r="J395" s="24">
        <v>0</v>
      </c>
      <c r="K395" s="24"/>
      <c r="L395" s="24" t="s">
        <v>1915</v>
      </c>
      <c r="M395" s="24" t="s">
        <v>1916</v>
      </c>
      <c r="N395" s="26" t="s">
        <v>30</v>
      </c>
      <c r="O395" s="26" t="s">
        <v>30</v>
      </c>
      <c r="P395" s="26" t="str">
        <f>IF(NOT("https://maps.app.goo.gl/Gtpt8xaACQYT3XueA" = ""), HYPERLINK("https://maps.app.goo.gl/Gtpt8xaACQYT3XueA", "موقع"), "")</f>
        <v>موقع</v>
      </c>
      <c r="Q395" s="24">
        <v>21000</v>
      </c>
      <c r="R395" s="26" t="str">
        <f t="shared" si="6"/>
        <v>تقديم طلب</v>
      </c>
      <c r="S395" s="32" t="s">
        <v>4367</v>
      </c>
    </row>
    <row r="396" spans="1:19" s="23" customFormat="1" ht="105" x14ac:dyDescent="0.3">
      <c r="A396" s="24" t="s">
        <v>1910</v>
      </c>
      <c r="B396" s="25" t="s">
        <v>468</v>
      </c>
      <c r="C396" s="24" t="s">
        <v>469</v>
      </c>
      <c r="D396" s="24" t="s">
        <v>1100</v>
      </c>
      <c r="E396" s="24" t="s">
        <v>1143</v>
      </c>
      <c r="F396" s="24" t="s">
        <v>1801</v>
      </c>
      <c r="G396" s="24" t="s">
        <v>1911</v>
      </c>
      <c r="H396" s="24" t="s">
        <v>1803</v>
      </c>
      <c r="I396" s="24">
        <v>60</v>
      </c>
      <c r="J396" s="24">
        <v>0</v>
      </c>
      <c r="K396" s="24"/>
      <c r="L396" s="24" t="s">
        <v>1912</v>
      </c>
      <c r="M396" s="24" t="s">
        <v>1913</v>
      </c>
      <c r="N396" s="26" t="s">
        <v>30</v>
      </c>
      <c r="O396" s="26" t="s">
        <v>30</v>
      </c>
      <c r="P396" s="26" t="str">
        <f>IF(NOT("https://maps.app.goo.gl/xWvhhPpLzNgGCCHT6" = ""), HYPERLINK("https://maps.app.goo.gl/xWvhhPpLzNgGCCHT6", "موقع"), "")</f>
        <v>موقع</v>
      </c>
      <c r="Q396" s="24">
        <v>20000</v>
      </c>
      <c r="R396" s="26" t="str">
        <f t="shared" si="6"/>
        <v>تقديم طلب</v>
      </c>
      <c r="S396" s="32" t="s">
        <v>4368</v>
      </c>
    </row>
    <row r="397" spans="1:19" s="23" customFormat="1" ht="90" x14ac:dyDescent="0.3">
      <c r="A397" s="24" t="s">
        <v>2051</v>
      </c>
      <c r="B397" s="25" t="s">
        <v>21</v>
      </c>
      <c r="C397" s="24" t="s">
        <v>2047</v>
      </c>
      <c r="D397" s="24" t="s">
        <v>1100</v>
      </c>
      <c r="E397" s="24" t="s">
        <v>1263</v>
      </c>
      <c r="F397" s="24" t="s">
        <v>1399</v>
      </c>
      <c r="G397" s="24" t="s">
        <v>2052</v>
      </c>
      <c r="H397" s="24" t="s">
        <v>1637</v>
      </c>
      <c r="I397" s="24">
        <v>883</v>
      </c>
      <c r="J397" s="24">
        <v>121</v>
      </c>
      <c r="K397" s="24" t="s">
        <v>73</v>
      </c>
      <c r="L397" s="24" t="s">
        <v>2053</v>
      </c>
      <c r="M397" s="24" t="s">
        <v>2054</v>
      </c>
      <c r="N397" s="26" t="s">
        <v>30</v>
      </c>
      <c r="O397" s="26" t="s">
        <v>30</v>
      </c>
      <c r="P397" s="26" t="str">
        <f>IF(NOT("https://maps.app.goo.gl/bpQ5eUD1qqszKVWL6" = ""), HYPERLINK("https://maps.app.goo.gl/bpQ5eUD1qqszKVWL6", "موقع"), "")</f>
        <v>موقع</v>
      </c>
      <c r="Q397" s="24">
        <v>534000</v>
      </c>
      <c r="R397" s="26" t="str">
        <f t="shared" si="6"/>
        <v>تقديم طلب</v>
      </c>
      <c r="S397" s="32" t="s">
        <v>4369</v>
      </c>
    </row>
    <row r="398" spans="1:19" s="23" customFormat="1" ht="90" x14ac:dyDescent="0.3">
      <c r="A398" s="24" t="s">
        <v>2046</v>
      </c>
      <c r="B398" s="25" t="s">
        <v>21</v>
      </c>
      <c r="C398" s="24" t="s">
        <v>2047</v>
      </c>
      <c r="D398" s="24" t="s">
        <v>1100</v>
      </c>
      <c r="E398" s="24" t="s">
        <v>1263</v>
      </c>
      <c r="F398" s="24" t="s">
        <v>1329</v>
      </c>
      <c r="G398" s="24" t="s">
        <v>2048</v>
      </c>
      <c r="H398" s="24" t="s">
        <v>2049</v>
      </c>
      <c r="I398" s="24">
        <v>449</v>
      </c>
      <c r="J398" s="24">
        <v>139</v>
      </c>
      <c r="K398" s="24" t="s">
        <v>55</v>
      </c>
      <c r="L398" s="24" t="s">
        <v>1415</v>
      </c>
      <c r="M398" s="24" t="s">
        <v>2050</v>
      </c>
      <c r="N398" s="26" t="s">
        <v>30</v>
      </c>
      <c r="O398" s="26" t="str">
        <f>IF(NOT("https://truemarkets3d.net/3d-virtual-tour/housingbank-realestate/phase3/aq-re-100186/index.html" = ""), HYPERLINK("https://truemarkets3d.net/3d-virtual-tour/housingbank-realestate/phase3/aq-re-100186/index.html", "جولة"), "")</f>
        <v>جولة</v>
      </c>
      <c r="P398" s="26" t="str">
        <f>IF(NOT("https://maps.app.goo.gl/QsRwMkUsu8fEteyQA" = ""), HYPERLINK("https://maps.app.goo.gl/QsRwMkUsu8fEteyQA", "موقع"), "")</f>
        <v>موقع</v>
      </c>
      <c r="Q398" s="24">
        <v>102000</v>
      </c>
      <c r="R398" s="26" t="str">
        <f t="shared" si="6"/>
        <v>تقديم طلب</v>
      </c>
      <c r="S398" s="32" t="s">
        <v>4370</v>
      </c>
    </row>
    <row r="399" spans="1:19" s="23" customFormat="1" ht="90" x14ac:dyDescent="0.3">
      <c r="A399" s="24" t="s">
        <v>2088</v>
      </c>
      <c r="B399" s="25" t="s">
        <v>21</v>
      </c>
      <c r="C399" s="24" t="s">
        <v>59</v>
      </c>
      <c r="D399" s="24" t="s">
        <v>2067</v>
      </c>
      <c r="E399" s="24" t="s">
        <v>2068</v>
      </c>
      <c r="F399" s="24" t="s">
        <v>2069</v>
      </c>
      <c r="G399" s="24" t="s">
        <v>2080</v>
      </c>
      <c r="H399" s="24" t="s">
        <v>2084</v>
      </c>
      <c r="I399" s="24">
        <v>2976</v>
      </c>
      <c r="J399" s="24">
        <v>111</v>
      </c>
      <c r="K399" s="24" t="s">
        <v>43</v>
      </c>
      <c r="L399" s="24" t="s">
        <v>103</v>
      </c>
      <c r="M399" s="24" t="s">
        <v>2089</v>
      </c>
      <c r="N399" s="26" t="s">
        <v>30</v>
      </c>
      <c r="O399" s="26" t="s">
        <v>30</v>
      </c>
      <c r="P399" s="26" t="str">
        <f>IF(NOT("https://maps.app.goo.gl/ysQrTwwWYW7k2JzN6" = ""), HYPERLINK("https://maps.app.goo.gl/ysQrTwwWYW7k2JzN6", "موقع"), "")</f>
        <v>موقع</v>
      </c>
      <c r="Q399" s="24">
        <v>23000</v>
      </c>
      <c r="R399" s="26" t="str">
        <f t="shared" si="6"/>
        <v>تقديم طلب</v>
      </c>
      <c r="S399" s="32" t="s">
        <v>4371</v>
      </c>
    </row>
    <row r="400" spans="1:19" s="23" customFormat="1" ht="90" x14ac:dyDescent="0.3">
      <c r="A400" s="24" t="s">
        <v>2086</v>
      </c>
      <c r="B400" s="25" t="s">
        <v>21</v>
      </c>
      <c r="C400" s="24" t="s">
        <v>59</v>
      </c>
      <c r="D400" s="24" t="s">
        <v>2067</v>
      </c>
      <c r="E400" s="24" t="s">
        <v>2068</v>
      </c>
      <c r="F400" s="24" t="s">
        <v>2069</v>
      </c>
      <c r="G400" s="24" t="s">
        <v>2080</v>
      </c>
      <c r="H400" s="24" t="s">
        <v>2084</v>
      </c>
      <c r="I400" s="24">
        <v>2831</v>
      </c>
      <c r="J400" s="24">
        <v>122</v>
      </c>
      <c r="K400" s="24" t="s">
        <v>73</v>
      </c>
      <c r="L400" s="24" t="s">
        <v>864</v>
      </c>
      <c r="M400" s="24" t="s">
        <v>2087</v>
      </c>
      <c r="N400" s="26" t="s">
        <v>30</v>
      </c>
      <c r="O400" s="26" t="s">
        <v>30</v>
      </c>
      <c r="P400" s="26" t="str">
        <f>IF(NOT("https://maps.app.goo.gl/c6KHWZSnGQShxnEK6" = ""), HYPERLINK("https://maps.app.goo.gl/c6KHWZSnGQShxnEK6", "موقع"), "")</f>
        <v>موقع</v>
      </c>
      <c r="Q400" s="24">
        <v>22000</v>
      </c>
      <c r="R400" s="26" t="str">
        <f t="shared" si="6"/>
        <v>تقديم طلب</v>
      </c>
      <c r="S400" s="32" t="s">
        <v>4372</v>
      </c>
    </row>
    <row r="401" spans="1:19" s="23" customFormat="1" ht="90" x14ac:dyDescent="0.3">
      <c r="A401" s="24" t="s">
        <v>2083</v>
      </c>
      <c r="B401" s="25" t="s">
        <v>21</v>
      </c>
      <c r="C401" s="24" t="s">
        <v>59</v>
      </c>
      <c r="D401" s="24" t="s">
        <v>2067</v>
      </c>
      <c r="E401" s="24" t="s">
        <v>2068</v>
      </c>
      <c r="F401" s="24" t="s">
        <v>2069</v>
      </c>
      <c r="G401" s="24" t="s">
        <v>2080</v>
      </c>
      <c r="H401" s="24" t="s">
        <v>2084</v>
      </c>
      <c r="I401" s="24">
        <v>2855</v>
      </c>
      <c r="J401" s="24">
        <v>-102</v>
      </c>
      <c r="K401" s="24" t="s">
        <v>33</v>
      </c>
      <c r="L401" s="24" t="s">
        <v>864</v>
      </c>
      <c r="M401" s="24" t="s">
        <v>2085</v>
      </c>
      <c r="N401" s="26" t="s">
        <v>30</v>
      </c>
      <c r="O401" s="26" t="s">
        <v>30</v>
      </c>
      <c r="P401" s="26" t="s">
        <v>30</v>
      </c>
      <c r="Q401" s="24">
        <v>21000</v>
      </c>
      <c r="R401" s="26" t="str">
        <f t="shared" si="6"/>
        <v>تقديم طلب</v>
      </c>
      <c r="S401" s="32" t="s">
        <v>4373</v>
      </c>
    </row>
    <row r="402" spans="1:19" s="23" customFormat="1" ht="90" x14ac:dyDescent="0.3">
      <c r="A402" s="24" t="s">
        <v>2079</v>
      </c>
      <c r="B402" s="25" t="s">
        <v>21</v>
      </c>
      <c r="C402" s="24" t="s">
        <v>59</v>
      </c>
      <c r="D402" s="24" t="s">
        <v>2067</v>
      </c>
      <c r="E402" s="24" t="s">
        <v>2068</v>
      </c>
      <c r="F402" s="24" t="s">
        <v>2069</v>
      </c>
      <c r="G402" s="24" t="s">
        <v>2080</v>
      </c>
      <c r="H402" s="24" t="s">
        <v>2081</v>
      </c>
      <c r="I402" s="24">
        <v>2846</v>
      </c>
      <c r="J402" s="24">
        <v>124</v>
      </c>
      <c r="K402" s="24" t="s">
        <v>73</v>
      </c>
      <c r="L402" s="24" t="s">
        <v>864</v>
      </c>
      <c r="M402" s="24" t="s">
        <v>2082</v>
      </c>
      <c r="N402" s="26" t="s">
        <v>30</v>
      </c>
      <c r="O402" s="26" t="s">
        <v>30</v>
      </c>
      <c r="P402" s="26" t="str">
        <f>IF(NOT("https://maps.app.goo.gl/wFsY2pvrwCUoWDti9" = ""), HYPERLINK("https://maps.app.goo.gl/wFsY2pvrwCUoWDti9", "موقع"), "")</f>
        <v>موقع</v>
      </c>
      <c r="Q402" s="24">
        <v>18000</v>
      </c>
      <c r="R402" s="26" t="str">
        <f t="shared" si="6"/>
        <v>تقديم طلب</v>
      </c>
      <c r="S402" s="32" t="s">
        <v>4374</v>
      </c>
    </row>
    <row r="403" spans="1:19" s="23" customFormat="1" ht="90" x14ac:dyDescent="0.3">
      <c r="A403" s="24" t="s">
        <v>2074</v>
      </c>
      <c r="B403" s="25" t="s">
        <v>21</v>
      </c>
      <c r="C403" s="24" t="s">
        <v>59</v>
      </c>
      <c r="D403" s="24" t="s">
        <v>2067</v>
      </c>
      <c r="E403" s="24" t="s">
        <v>2068</v>
      </c>
      <c r="F403" s="24" t="s">
        <v>2069</v>
      </c>
      <c r="G403" s="24" t="s">
        <v>2075</v>
      </c>
      <c r="H403" s="24" t="s">
        <v>2076</v>
      </c>
      <c r="I403" s="24">
        <v>758</v>
      </c>
      <c r="J403" s="24">
        <v>111</v>
      </c>
      <c r="K403" s="24" t="s">
        <v>43</v>
      </c>
      <c r="L403" s="24" t="s">
        <v>2077</v>
      </c>
      <c r="M403" s="24" t="s">
        <v>2078</v>
      </c>
      <c r="N403" s="26" t="s">
        <v>30</v>
      </c>
      <c r="O403" s="26" t="s">
        <v>30</v>
      </c>
      <c r="P403" s="26" t="str">
        <f>IF(NOT("https://maps.app.goo.gl/NjZWGWM4gPdVSFy98" = ""), HYPERLINK("https://maps.app.goo.gl/NjZWGWM4gPdVSFy98", "موقع"), "")</f>
        <v>موقع</v>
      </c>
      <c r="Q403" s="24">
        <v>17000</v>
      </c>
      <c r="R403" s="26" t="str">
        <f t="shared" si="6"/>
        <v>تقديم طلب</v>
      </c>
      <c r="S403" s="32" t="s">
        <v>4375</v>
      </c>
    </row>
    <row r="404" spans="1:19" s="23" customFormat="1" ht="90" x14ac:dyDescent="0.3">
      <c r="A404" s="24" t="s">
        <v>2066</v>
      </c>
      <c r="B404" s="25" t="s">
        <v>21</v>
      </c>
      <c r="C404" s="24" t="s">
        <v>59</v>
      </c>
      <c r="D404" s="24" t="s">
        <v>2067</v>
      </c>
      <c r="E404" s="24" t="s">
        <v>2068</v>
      </c>
      <c r="F404" s="24" t="s">
        <v>2069</v>
      </c>
      <c r="G404" s="24" t="s">
        <v>2070</v>
      </c>
      <c r="H404" s="24" t="s">
        <v>2071</v>
      </c>
      <c r="I404" s="24">
        <v>1427</v>
      </c>
      <c r="J404" s="24">
        <v>122</v>
      </c>
      <c r="K404" s="24" t="s">
        <v>73</v>
      </c>
      <c r="L404" s="24" t="s">
        <v>2072</v>
      </c>
      <c r="M404" s="24" t="s">
        <v>2073</v>
      </c>
      <c r="N404" s="26" t="s">
        <v>30</v>
      </c>
      <c r="O404" s="26" t="s">
        <v>30</v>
      </c>
      <c r="P404" s="26" t="str">
        <f>IF(NOT("https://maps.app.goo.gl/BeWyApmk7QkgqGiH8" = ""), HYPERLINK("https://maps.app.goo.gl/BeWyApmk7QkgqGiH8", "موقع"), "")</f>
        <v>موقع</v>
      </c>
      <c r="Q404" s="24">
        <v>10000</v>
      </c>
      <c r="R404" s="26" t="str">
        <f t="shared" si="6"/>
        <v>تقديم طلب</v>
      </c>
      <c r="S404" s="32" t="s">
        <v>4376</v>
      </c>
    </row>
    <row r="405" spans="1:19" s="23" customFormat="1" ht="90" x14ac:dyDescent="0.3">
      <c r="A405" s="24" t="s">
        <v>2158</v>
      </c>
      <c r="B405" s="25" t="s">
        <v>296</v>
      </c>
      <c r="C405" s="24" t="s">
        <v>532</v>
      </c>
      <c r="D405" s="24" t="s">
        <v>2067</v>
      </c>
      <c r="E405" s="24" t="s">
        <v>2068</v>
      </c>
      <c r="F405" s="24" t="s">
        <v>2069</v>
      </c>
      <c r="G405" s="24" t="s">
        <v>2159</v>
      </c>
      <c r="H405" s="24" t="s">
        <v>2160</v>
      </c>
      <c r="I405" s="24">
        <v>705</v>
      </c>
      <c r="J405" s="24">
        <v>0</v>
      </c>
      <c r="K405" s="24"/>
      <c r="L405" s="24" t="s">
        <v>2161</v>
      </c>
      <c r="M405" s="24" t="s">
        <v>2162</v>
      </c>
      <c r="N405" s="26" t="s">
        <v>30</v>
      </c>
      <c r="O405" s="26" t="s">
        <v>30</v>
      </c>
      <c r="P405" s="26" t="s">
        <v>30</v>
      </c>
      <c r="Q405" s="24">
        <v>595000</v>
      </c>
      <c r="R405" s="26" t="str">
        <f t="shared" si="6"/>
        <v>تقديم طلب</v>
      </c>
      <c r="S405" s="32" t="s">
        <v>4377</v>
      </c>
    </row>
    <row r="406" spans="1:19" s="23" customFormat="1" ht="105" x14ac:dyDescent="0.3">
      <c r="A406" s="24" t="s">
        <v>2184</v>
      </c>
      <c r="B406" s="25" t="s">
        <v>21</v>
      </c>
      <c r="C406" s="24" t="s">
        <v>59</v>
      </c>
      <c r="D406" s="24" t="s">
        <v>2167</v>
      </c>
      <c r="E406" s="24" t="s">
        <v>2185</v>
      </c>
      <c r="F406" s="24" t="s">
        <v>2186</v>
      </c>
      <c r="G406" s="24" t="s">
        <v>2187</v>
      </c>
      <c r="H406" s="24" t="s">
        <v>345</v>
      </c>
      <c r="I406" s="24">
        <v>615</v>
      </c>
      <c r="J406" s="24">
        <v>0</v>
      </c>
      <c r="K406" s="24" t="s">
        <v>43</v>
      </c>
      <c r="L406" s="24" t="s">
        <v>2188</v>
      </c>
      <c r="M406" s="24" t="s">
        <v>2189</v>
      </c>
      <c r="N406" s="26" t="s">
        <v>30</v>
      </c>
      <c r="O406" s="26" t="s">
        <v>30</v>
      </c>
      <c r="P406" s="26" t="s">
        <v>30</v>
      </c>
      <c r="Q406" s="24">
        <v>41000</v>
      </c>
      <c r="R406" s="26" t="str">
        <f t="shared" si="6"/>
        <v>تقديم طلب</v>
      </c>
      <c r="S406" s="32" t="s">
        <v>4378</v>
      </c>
    </row>
    <row r="407" spans="1:19" s="23" customFormat="1" ht="90" x14ac:dyDescent="0.3">
      <c r="A407" s="24" t="s">
        <v>2178</v>
      </c>
      <c r="B407" s="25" t="s">
        <v>21</v>
      </c>
      <c r="C407" s="24" t="s">
        <v>59</v>
      </c>
      <c r="D407" s="24" t="s">
        <v>2167</v>
      </c>
      <c r="E407" s="24" t="s">
        <v>2179</v>
      </c>
      <c r="F407" s="24" t="s">
        <v>2180</v>
      </c>
      <c r="G407" s="24" t="s">
        <v>2181</v>
      </c>
      <c r="H407" s="24" t="s">
        <v>2182</v>
      </c>
      <c r="I407" s="24">
        <v>83</v>
      </c>
      <c r="J407" s="24">
        <v>132</v>
      </c>
      <c r="K407" s="24" t="s">
        <v>55</v>
      </c>
      <c r="L407" s="24" t="s">
        <v>136</v>
      </c>
      <c r="M407" s="24" t="s">
        <v>2183</v>
      </c>
      <c r="N407" s="26" t="s">
        <v>30</v>
      </c>
      <c r="O407" s="26" t="s">
        <v>30</v>
      </c>
      <c r="P407" s="26" t="str">
        <f>IF(NOT("https://maps.app.goo.gl/meVRxSaNbKiyizqX9" = ""), HYPERLINK("https://maps.app.goo.gl/meVRxSaNbKiyizqX9", "موقع"), "")</f>
        <v>موقع</v>
      </c>
      <c r="Q407" s="24">
        <v>32000</v>
      </c>
      <c r="R407" s="26" t="str">
        <f t="shared" si="6"/>
        <v>تقديم طلب</v>
      </c>
      <c r="S407" s="32" t="s">
        <v>4379</v>
      </c>
    </row>
    <row r="408" spans="1:19" s="23" customFormat="1" ht="90" x14ac:dyDescent="0.3">
      <c r="A408" s="24" t="s">
        <v>2172</v>
      </c>
      <c r="B408" s="25" t="s">
        <v>21</v>
      </c>
      <c r="C408" s="24" t="s">
        <v>59</v>
      </c>
      <c r="D408" s="24" t="s">
        <v>2167</v>
      </c>
      <c r="E408" s="24" t="s">
        <v>2173</v>
      </c>
      <c r="F408" s="24" t="s">
        <v>2174</v>
      </c>
      <c r="G408" s="24" t="s">
        <v>53</v>
      </c>
      <c r="H408" s="24" t="s">
        <v>2175</v>
      </c>
      <c r="I408" s="24">
        <v>92</v>
      </c>
      <c r="J408" s="24">
        <v>111</v>
      </c>
      <c r="K408" s="24" t="s">
        <v>43</v>
      </c>
      <c r="L408" s="24" t="s">
        <v>2176</v>
      </c>
      <c r="M408" s="24" t="s">
        <v>2177</v>
      </c>
      <c r="N408" s="26" t="s">
        <v>30</v>
      </c>
      <c r="O408" s="26" t="s">
        <v>30</v>
      </c>
      <c r="P408" s="26" t="str">
        <f>IF(NOT("https://maps.app.goo.gl/n9vrfVBB9wmJDo1h9" = ""), HYPERLINK("https://maps.app.goo.gl/n9vrfVBB9wmJDo1h9", "موقع"), "")</f>
        <v>موقع</v>
      </c>
      <c r="Q408" s="24">
        <v>19000</v>
      </c>
      <c r="R408" s="26" t="str">
        <f t="shared" si="6"/>
        <v>تقديم طلب</v>
      </c>
      <c r="S408" s="32" t="s">
        <v>4380</v>
      </c>
    </row>
    <row r="409" spans="1:19" s="23" customFormat="1" ht="105" x14ac:dyDescent="0.3">
      <c r="A409" s="24" t="s">
        <v>2166</v>
      </c>
      <c r="B409" s="25" t="s">
        <v>21</v>
      </c>
      <c r="C409" s="24" t="s">
        <v>59</v>
      </c>
      <c r="D409" s="24" t="s">
        <v>2167</v>
      </c>
      <c r="E409" s="24" t="s">
        <v>2168</v>
      </c>
      <c r="F409" s="24" t="s">
        <v>2169</v>
      </c>
      <c r="G409" s="24" t="s">
        <v>119</v>
      </c>
      <c r="H409" s="24" t="s">
        <v>2170</v>
      </c>
      <c r="I409" s="24">
        <v>730</v>
      </c>
      <c r="J409" s="24">
        <v>111</v>
      </c>
      <c r="K409" s="24" t="s">
        <v>43</v>
      </c>
      <c r="L409" s="24" t="s">
        <v>802</v>
      </c>
      <c r="M409" s="24" t="s">
        <v>2171</v>
      </c>
      <c r="N409" s="26" t="s">
        <v>30</v>
      </c>
      <c r="O409" s="26" t="s">
        <v>30</v>
      </c>
      <c r="P409" s="26" t="s">
        <v>30</v>
      </c>
      <c r="Q409" s="24">
        <v>13000</v>
      </c>
      <c r="R409" s="26" t="str">
        <f t="shared" si="6"/>
        <v>تقديم طلب</v>
      </c>
      <c r="S409" s="32" t="s">
        <v>4381</v>
      </c>
    </row>
    <row r="410" spans="1:19" s="23" customFormat="1" ht="285" x14ac:dyDescent="0.3">
      <c r="A410" s="24" t="s">
        <v>2227</v>
      </c>
      <c r="B410" s="25" t="s">
        <v>296</v>
      </c>
      <c r="C410" s="24" t="s">
        <v>315</v>
      </c>
      <c r="D410" s="24" t="s">
        <v>2167</v>
      </c>
      <c r="E410" s="24" t="s">
        <v>2179</v>
      </c>
      <c r="F410" s="24" t="s">
        <v>2228</v>
      </c>
      <c r="G410" s="24" t="s">
        <v>2229</v>
      </c>
      <c r="H410" s="24" t="s">
        <v>2230</v>
      </c>
      <c r="I410" s="24">
        <v>61</v>
      </c>
      <c r="J410" s="24">
        <v>0</v>
      </c>
      <c r="K410" s="24"/>
      <c r="L410" s="24" t="s">
        <v>2231</v>
      </c>
      <c r="M410" s="24" t="s">
        <v>2232</v>
      </c>
      <c r="N410" s="26" t="s">
        <v>30</v>
      </c>
      <c r="O410" s="26" t="s">
        <v>30</v>
      </c>
      <c r="P410" s="26" t="str">
        <f>IF(NOT("https://maps.app.goo.gl/1o3zMBuKWctgbPRN6" = ""), HYPERLINK("https://maps.app.goo.gl/1o3zMBuKWctgbPRN6", "موقع"), "")</f>
        <v>موقع</v>
      </c>
      <c r="Q410" s="24">
        <v>141000</v>
      </c>
      <c r="R410" s="26" t="str">
        <f t="shared" si="6"/>
        <v>تقديم طلب</v>
      </c>
      <c r="S410" s="32" t="s">
        <v>4382</v>
      </c>
    </row>
    <row r="411" spans="1:19" s="23" customFormat="1" ht="225" x14ac:dyDescent="0.3">
      <c r="A411" s="24" t="s">
        <v>2221</v>
      </c>
      <c r="B411" s="25" t="s">
        <v>296</v>
      </c>
      <c r="C411" s="24" t="s">
        <v>315</v>
      </c>
      <c r="D411" s="24" t="s">
        <v>2167</v>
      </c>
      <c r="E411" s="24" t="s">
        <v>2168</v>
      </c>
      <c r="F411" s="24" t="s">
        <v>2222</v>
      </c>
      <c r="G411" s="24" t="s">
        <v>2223</v>
      </c>
      <c r="H411" s="24" t="s">
        <v>2224</v>
      </c>
      <c r="I411" s="24">
        <v>631</v>
      </c>
      <c r="J411" s="24">
        <v>0</v>
      </c>
      <c r="K411" s="24"/>
      <c r="L411" s="24" t="s">
        <v>2225</v>
      </c>
      <c r="M411" s="24" t="s">
        <v>2226</v>
      </c>
      <c r="N411" s="26" t="s">
        <v>30</v>
      </c>
      <c r="O411" s="26" t="s">
        <v>30</v>
      </c>
      <c r="P411" s="26" t="str">
        <f>IF(NOT("https://maps.app.goo.gl/tE56ws3842kuVrpd9" = ""), HYPERLINK("https://maps.app.goo.gl/tE56ws3842kuVrpd9", "موقع"), "")</f>
        <v>موقع</v>
      </c>
      <c r="Q411" s="24">
        <v>63000</v>
      </c>
      <c r="R411" s="26" t="str">
        <f t="shared" si="6"/>
        <v>تقديم طلب</v>
      </c>
      <c r="S411" s="32" t="s">
        <v>4383</v>
      </c>
    </row>
    <row r="412" spans="1:19" s="23" customFormat="1" ht="195" x14ac:dyDescent="0.3">
      <c r="A412" s="24" t="s">
        <v>2216</v>
      </c>
      <c r="B412" s="25" t="s">
        <v>296</v>
      </c>
      <c r="C412" s="24" t="s">
        <v>315</v>
      </c>
      <c r="D412" s="24" t="s">
        <v>2167</v>
      </c>
      <c r="E412" s="24" t="s">
        <v>2179</v>
      </c>
      <c r="F412" s="24" t="s">
        <v>2217</v>
      </c>
      <c r="G412" s="24" t="s">
        <v>2218</v>
      </c>
      <c r="H412" s="24" t="s">
        <v>2219</v>
      </c>
      <c r="I412" s="24">
        <v>117</v>
      </c>
      <c r="J412" s="24">
        <v>0</v>
      </c>
      <c r="K412" s="24"/>
      <c r="L412" s="24" t="s">
        <v>875</v>
      </c>
      <c r="M412" s="24" t="s">
        <v>2220</v>
      </c>
      <c r="N412" s="26" t="s">
        <v>30</v>
      </c>
      <c r="O412" s="26" t="s">
        <v>30</v>
      </c>
      <c r="P412" s="26" t="str">
        <f>IF(NOT("https://maps.app.goo.gl/pTtVtcYQptRE2XRWA" = ""), HYPERLINK("https://maps.app.goo.gl/pTtVtcYQptRE2XRWA", "موقع"), "")</f>
        <v>موقع</v>
      </c>
      <c r="Q412" s="24">
        <v>61000</v>
      </c>
      <c r="R412" s="26" t="str">
        <f t="shared" si="6"/>
        <v>تقديم طلب</v>
      </c>
      <c r="S412" s="32" t="s">
        <v>4384</v>
      </c>
    </row>
    <row r="413" spans="1:19" s="23" customFormat="1" ht="285" x14ac:dyDescent="0.3">
      <c r="A413" s="24" t="s">
        <v>2214</v>
      </c>
      <c r="B413" s="25" t="s">
        <v>296</v>
      </c>
      <c r="C413" s="24" t="s">
        <v>315</v>
      </c>
      <c r="D413" s="24" t="s">
        <v>2167</v>
      </c>
      <c r="E413" s="24" t="s">
        <v>2185</v>
      </c>
      <c r="F413" s="24" t="s">
        <v>2186</v>
      </c>
      <c r="G413" s="24" t="s">
        <v>2211</v>
      </c>
      <c r="H413" s="24" t="s">
        <v>2170</v>
      </c>
      <c r="I413" s="24">
        <v>618</v>
      </c>
      <c r="J413" s="24">
        <v>0</v>
      </c>
      <c r="K413" s="24"/>
      <c r="L413" s="24" t="s">
        <v>612</v>
      </c>
      <c r="M413" s="24" t="s">
        <v>2215</v>
      </c>
      <c r="N413" s="26" t="s">
        <v>30</v>
      </c>
      <c r="O413" s="26" t="s">
        <v>30</v>
      </c>
      <c r="P413" s="26" t="s">
        <v>30</v>
      </c>
      <c r="Q413" s="24">
        <v>41000</v>
      </c>
      <c r="R413" s="26" t="str">
        <f t="shared" si="6"/>
        <v>تقديم طلب</v>
      </c>
      <c r="S413" s="32" t="s">
        <v>4385</v>
      </c>
    </row>
    <row r="414" spans="1:19" s="23" customFormat="1" ht="90" x14ac:dyDescent="0.3">
      <c r="A414" s="24" t="s">
        <v>2210</v>
      </c>
      <c r="B414" s="25" t="s">
        <v>296</v>
      </c>
      <c r="C414" s="24" t="s">
        <v>315</v>
      </c>
      <c r="D414" s="24" t="s">
        <v>2167</v>
      </c>
      <c r="E414" s="24" t="s">
        <v>2185</v>
      </c>
      <c r="F414" s="24" t="s">
        <v>2186</v>
      </c>
      <c r="G414" s="24" t="s">
        <v>2211</v>
      </c>
      <c r="H414" s="24" t="s">
        <v>345</v>
      </c>
      <c r="I414" s="24">
        <v>537</v>
      </c>
      <c r="J414" s="24">
        <v>0</v>
      </c>
      <c r="K414" s="24"/>
      <c r="L414" s="24" t="s">
        <v>2212</v>
      </c>
      <c r="M414" s="24" t="s">
        <v>2213</v>
      </c>
      <c r="N414" s="26" t="s">
        <v>30</v>
      </c>
      <c r="O414" s="26" t="s">
        <v>30</v>
      </c>
      <c r="P414" s="26" t="str">
        <f>IF(NOT("https://maps.app.goo.gl/emcmKEAFCX1w11qE8" = ""), HYPERLINK("https://maps.app.goo.gl/emcmKEAFCX1w11qE8", "موقع"), "")</f>
        <v>موقع</v>
      </c>
      <c r="Q414" s="24">
        <v>36000</v>
      </c>
      <c r="R414" s="26" t="str">
        <f t="shared" si="6"/>
        <v>تقديم طلب</v>
      </c>
      <c r="S414" s="32" t="s">
        <v>4386</v>
      </c>
    </row>
    <row r="415" spans="1:19" s="23" customFormat="1" ht="90" x14ac:dyDescent="0.3">
      <c r="A415" s="24" t="s">
        <v>2204</v>
      </c>
      <c r="B415" s="25" t="s">
        <v>296</v>
      </c>
      <c r="C415" s="24" t="s">
        <v>315</v>
      </c>
      <c r="D415" s="24" t="s">
        <v>2167</v>
      </c>
      <c r="E415" s="24" t="s">
        <v>2179</v>
      </c>
      <c r="F415" s="24" t="s">
        <v>2205</v>
      </c>
      <c r="G415" s="24" t="s">
        <v>2206</v>
      </c>
      <c r="H415" s="24" t="s">
        <v>2207</v>
      </c>
      <c r="I415" s="24">
        <v>327</v>
      </c>
      <c r="J415" s="24">
        <v>0</v>
      </c>
      <c r="K415" s="24"/>
      <c r="L415" s="24" t="s">
        <v>2208</v>
      </c>
      <c r="M415" s="24" t="s">
        <v>2209</v>
      </c>
      <c r="N415" s="26" t="s">
        <v>30</v>
      </c>
      <c r="O415" s="26" t="s">
        <v>30</v>
      </c>
      <c r="P415" s="26" t="str">
        <f>IF(NOT("https://maps.app.goo.gl/XmxnDKcjLE7m7iCQ6" = ""), HYPERLINK("https://maps.app.goo.gl/XmxnDKcjLE7m7iCQ6", "موقع"), "")</f>
        <v>موقع</v>
      </c>
      <c r="Q415" s="24">
        <v>34000</v>
      </c>
      <c r="R415" s="26" t="str">
        <f t="shared" si="6"/>
        <v>تقديم طلب</v>
      </c>
      <c r="S415" s="32" t="s">
        <v>4387</v>
      </c>
    </row>
    <row r="416" spans="1:19" s="23" customFormat="1" ht="90" x14ac:dyDescent="0.3">
      <c r="A416" s="24" t="s">
        <v>2199</v>
      </c>
      <c r="B416" s="25" t="s">
        <v>296</v>
      </c>
      <c r="C416" s="24" t="s">
        <v>315</v>
      </c>
      <c r="D416" s="24" t="s">
        <v>2167</v>
      </c>
      <c r="E416" s="24" t="s">
        <v>2179</v>
      </c>
      <c r="F416" s="24" t="s">
        <v>2200</v>
      </c>
      <c r="G416" s="24" t="s">
        <v>2201</v>
      </c>
      <c r="H416" s="24" t="s">
        <v>345</v>
      </c>
      <c r="I416" s="24">
        <v>106</v>
      </c>
      <c r="J416" s="24">
        <v>0</v>
      </c>
      <c r="K416" s="24"/>
      <c r="L416" s="24" t="s">
        <v>2202</v>
      </c>
      <c r="M416" s="24" t="s">
        <v>2203</v>
      </c>
      <c r="N416" s="26" t="s">
        <v>30</v>
      </c>
      <c r="O416" s="26" t="s">
        <v>30</v>
      </c>
      <c r="P416" s="26" t="s">
        <v>30</v>
      </c>
      <c r="Q416" s="24">
        <v>26000</v>
      </c>
      <c r="R416" s="26" t="str">
        <f t="shared" si="6"/>
        <v>تقديم طلب</v>
      </c>
      <c r="S416" s="32" t="s">
        <v>4388</v>
      </c>
    </row>
    <row r="417" spans="1:19" s="23" customFormat="1" ht="240" x14ac:dyDescent="0.3">
      <c r="A417" s="24" t="s">
        <v>2195</v>
      </c>
      <c r="B417" s="25" t="s">
        <v>296</v>
      </c>
      <c r="C417" s="24" t="s">
        <v>315</v>
      </c>
      <c r="D417" s="24" t="s">
        <v>2167</v>
      </c>
      <c r="E417" s="24" t="s">
        <v>2185</v>
      </c>
      <c r="F417" s="24" t="s">
        <v>2196</v>
      </c>
      <c r="G417" s="24" t="s">
        <v>333</v>
      </c>
      <c r="H417" s="24" t="s">
        <v>345</v>
      </c>
      <c r="I417" s="24">
        <v>22</v>
      </c>
      <c r="J417" s="24">
        <v>0</v>
      </c>
      <c r="K417" s="24"/>
      <c r="L417" s="24" t="s">
        <v>2197</v>
      </c>
      <c r="M417" s="24" t="s">
        <v>2198</v>
      </c>
      <c r="N417" s="26" t="s">
        <v>30</v>
      </c>
      <c r="O417" s="26" t="s">
        <v>30</v>
      </c>
      <c r="P417" s="26" t="str">
        <f>IF(NOT("https://maps.app.goo.gl/uebFuZCtCmPZFAFX8" = ""), HYPERLINK("https://maps.app.goo.gl/uebFuZCtCmPZFAFX8", "موقع"), "")</f>
        <v>موقع</v>
      </c>
      <c r="Q417" s="24">
        <v>25000</v>
      </c>
      <c r="R417" s="26" t="str">
        <f t="shared" si="6"/>
        <v>تقديم طلب</v>
      </c>
      <c r="S417" s="32" t="s">
        <v>4389</v>
      </c>
    </row>
    <row r="418" spans="1:19" s="23" customFormat="1" ht="90" x14ac:dyDescent="0.3">
      <c r="A418" s="24" t="s">
        <v>2190</v>
      </c>
      <c r="B418" s="25" t="s">
        <v>296</v>
      </c>
      <c r="C418" s="24" t="s">
        <v>315</v>
      </c>
      <c r="D418" s="24" t="s">
        <v>2167</v>
      </c>
      <c r="E418" s="24" t="s">
        <v>2185</v>
      </c>
      <c r="F418" s="24" t="s">
        <v>2191</v>
      </c>
      <c r="G418" s="24" t="s">
        <v>2192</v>
      </c>
      <c r="H418" s="24" t="s">
        <v>345</v>
      </c>
      <c r="I418" s="24">
        <v>839</v>
      </c>
      <c r="J418" s="24">
        <v>0</v>
      </c>
      <c r="K418" s="24"/>
      <c r="L418" s="24" t="s">
        <v>2193</v>
      </c>
      <c r="M418" s="24" t="s">
        <v>2194</v>
      </c>
      <c r="N418" s="26" t="s">
        <v>30</v>
      </c>
      <c r="O418" s="26" t="s">
        <v>30</v>
      </c>
      <c r="P418" s="26" t="str">
        <f>IF(NOT("https://maps.app.goo.gl/SFgYjmhyJRSYtJH27" = ""), HYPERLINK("https://maps.app.goo.gl/SFgYjmhyJRSYtJH27", "موقع"), "")</f>
        <v>موقع</v>
      </c>
      <c r="Q418" s="24">
        <v>24000</v>
      </c>
      <c r="R418" s="26" t="str">
        <f t="shared" si="6"/>
        <v>تقديم طلب</v>
      </c>
      <c r="S418" s="32" t="s">
        <v>4390</v>
      </c>
    </row>
    <row r="419" spans="1:19" s="23" customFormat="1" ht="90" x14ac:dyDescent="0.3">
      <c r="A419" s="24" t="s">
        <v>2242</v>
      </c>
      <c r="B419" s="25" t="s">
        <v>468</v>
      </c>
      <c r="C419" s="24" t="s">
        <v>469</v>
      </c>
      <c r="D419" s="24" t="s">
        <v>2167</v>
      </c>
      <c r="E419" s="24" t="s">
        <v>2168</v>
      </c>
      <c r="F419" s="24" t="s">
        <v>2243</v>
      </c>
      <c r="G419" s="24" t="s">
        <v>2244</v>
      </c>
      <c r="H419" s="24" t="s">
        <v>345</v>
      </c>
      <c r="I419" s="24">
        <v>20</v>
      </c>
      <c r="J419" s="24">
        <v>0</v>
      </c>
      <c r="K419" s="24"/>
      <c r="L419" s="24" t="s">
        <v>2245</v>
      </c>
      <c r="M419" s="24" t="s">
        <v>2246</v>
      </c>
      <c r="N419" s="26" t="s">
        <v>30</v>
      </c>
      <c r="O419" s="26" t="s">
        <v>30</v>
      </c>
      <c r="P419" s="26" t="s">
        <v>30</v>
      </c>
      <c r="Q419" s="24">
        <v>17000</v>
      </c>
      <c r="R419" s="26" t="str">
        <f t="shared" si="6"/>
        <v>تقديم طلب</v>
      </c>
      <c r="S419" s="32" t="s">
        <v>4391</v>
      </c>
    </row>
    <row r="420" spans="1:19" s="23" customFormat="1" ht="90" x14ac:dyDescent="0.3">
      <c r="A420" s="24" t="s">
        <v>2237</v>
      </c>
      <c r="B420" s="25" t="s">
        <v>468</v>
      </c>
      <c r="C420" s="24" t="s">
        <v>469</v>
      </c>
      <c r="D420" s="24" t="s">
        <v>2167</v>
      </c>
      <c r="E420" s="24" t="s">
        <v>2168</v>
      </c>
      <c r="F420" s="24" t="s">
        <v>2238</v>
      </c>
      <c r="G420" s="24" t="s">
        <v>2239</v>
      </c>
      <c r="H420" s="24" t="s">
        <v>2170</v>
      </c>
      <c r="I420" s="24">
        <v>181</v>
      </c>
      <c r="J420" s="24">
        <v>0</v>
      </c>
      <c r="K420" s="24"/>
      <c r="L420" s="24" t="s">
        <v>2240</v>
      </c>
      <c r="M420" s="24" t="s">
        <v>2241</v>
      </c>
      <c r="N420" s="26" t="s">
        <v>30</v>
      </c>
      <c r="O420" s="26" t="s">
        <v>30</v>
      </c>
      <c r="P420" s="26" t="str">
        <f>IF(NOT("https://maps.app.goo.gl/vgSJRETDMvEV6DU9A" = ""), HYPERLINK("https://maps.app.goo.gl/vgSJRETDMvEV6DU9A", "موقع"), "")</f>
        <v>موقع</v>
      </c>
      <c r="Q420" s="24">
        <v>15000</v>
      </c>
      <c r="R420" s="26" t="str">
        <f t="shared" si="6"/>
        <v>تقديم طلب</v>
      </c>
      <c r="S420" s="32" t="s">
        <v>4392</v>
      </c>
    </row>
    <row r="421" spans="1:19" s="23" customFormat="1" ht="135" x14ac:dyDescent="0.3">
      <c r="A421" s="24" t="s">
        <v>2265</v>
      </c>
      <c r="B421" s="25" t="s">
        <v>296</v>
      </c>
      <c r="C421" s="24" t="s">
        <v>522</v>
      </c>
      <c r="D421" s="24" t="s">
        <v>2167</v>
      </c>
      <c r="E421" s="24" t="s">
        <v>2168</v>
      </c>
      <c r="F421" s="24" t="s">
        <v>2266</v>
      </c>
      <c r="G421" s="24" t="s">
        <v>84</v>
      </c>
      <c r="H421" s="24" t="s">
        <v>2170</v>
      </c>
      <c r="I421" s="24">
        <v>38</v>
      </c>
      <c r="J421" s="24">
        <v>0</v>
      </c>
      <c r="K421" s="24"/>
      <c r="L421" s="24" t="s">
        <v>2267</v>
      </c>
      <c r="M421" s="24" t="s">
        <v>2268</v>
      </c>
      <c r="N421" s="26" t="s">
        <v>30</v>
      </c>
      <c r="O421" s="26" t="s">
        <v>30</v>
      </c>
      <c r="P421" s="26" t="str">
        <f>IF(NOT("https://maps.app.goo.gl/z5ujayfc7Y7kQ9Jd9" = ""), HYPERLINK("https://maps.app.goo.gl/z5ujayfc7Y7kQ9Jd9", "موقع"), "")</f>
        <v>موقع</v>
      </c>
      <c r="Q421" s="24">
        <v>24000</v>
      </c>
      <c r="R421" s="26" t="str">
        <f t="shared" si="6"/>
        <v>تقديم طلب</v>
      </c>
      <c r="S421" s="32" t="s">
        <v>4393</v>
      </c>
    </row>
    <row r="422" spans="1:19" s="23" customFormat="1" ht="135" x14ac:dyDescent="0.3">
      <c r="A422" s="24" t="s">
        <v>2256</v>
      </c>
      <c r="B422" s="25" t="s">
        <v>296</v>
      </c>
      <c r="C422" s="24" t="s">
        <v>522</v>
      </c>
      <c r="D422" s="24" t="s">
        <v>2167</v>
      </c>
      <c r="E422" s="24" t="s">
        <v>2185</v>
      </c>
      <c r="F422" s="24" t="s">
        <v>2257</v>
      </c>
      <c r="G422" s="24" t="s">
        <v>333</v>
      </c>
      <c r="H422" s="24" t="s">
        <v>345</v>
      </c>
      <c r="I422" s="24">
        <v>295</v>
      </c>
      <c r="J422" s="24">
        <v>0</v>
      </c>
      <c r="K422" s="24"/>
      <c r="L422" s="24" t="s">
        <v>2258</v>
      </c>
      <c r="M422" s="24" t="s">
        <v>2259</v>
      </c>
      <c r="N422" s="26" t="s">
        <v>30</v>
      </c>
      <c r="O422" s="26" t="s">
        <v>30</v>
      </c>
      <c r="P422" s="26" t="str">
        <f>IF(NOT("https://maps.app.goo.gl/qYZVzkQWQxvbkaDu6" = ""), HYPERLINK("https://maps.app.goo.gl/qYZVzkQWQxvbkaDu6", "موقع"), "")</f>
        <v>موقع</v>
      </c>
      <c r="Q422" s="24">
        <v>20000</v>
      </c>
      <c r="R422" s="26" t="str">
        <f t="shared" si="6"/>
        <v>تقديم طلب</v>
      </c>
      <c r="S422" s="32" t="s">
        <v>4394</v>
      </c>
    </row>
    <row r="423" spans="1:19" s="23" customFormat="1" ht="135" x14ac:dyDescent="0.3">
      <c r="A423" s="24" t="s">
        <v>2260</v>
      </c>
      <c r="B423" s="25" t="s">
        <v>296</v>
      </c>
      <c r="C423" s="24" t="s">
        <v>522</v>
      </c>
      <c r="D423" s="24" t="s">
        <v>2167</v>
      </c>
      <c r="E423" s="24" t="s">
        <v>2185</v>
      </c>
      <c r="F423" s="24" t="s">
        <v>2261</v>
      </c>
      <c r="G423" s="24" t="s">
        <v>2262</v>
      </c>
      <c r="H423" s="24" t="s">
        <v>345</v>
      </c>
      <c r="I423" s="24">
        <v>381</v>
      </c>
      <c r="J423" s="24">
        <v>0</v>
      </c>
      <c r="K423" s="24"/>
      <c r="L423" s="24" t="s">
        <v>2263</v>
      </c>
      <c r="M423" s="24" t="s">
        <v>2264</v>
      </c>
      <c r="N423" s="26" t="s">
        <v>30</v>
      </c>
      <c r="O423" s="26" t="s">
        <v>30</v>
      </c>
      <c r="P423" s="26" t="str">
        <f>IF(NOT("https://maps.app.goo.gl/DSq21ccX4bDdsCMf9" = ""), HYPERLINK("https://maps.app.goo.gl/DSq21ccX4bDdsCMf9", "موقع"), "")</f>
        <v>موقع</v>
      </c>
      <c r="Q423" s="24">
        <v>20000</v>
      </c>
      <c r="R423" s="26" t="str">
        <f t="shared" si="6"/>
        <v>تقديم طلب</v>
      </c>
      <c r="S423" s="32" t="s">
        <v>4395</v>
      </c>
    </row>
    <row r="424" spans="1:19" s="23" customFormat="1" ht="135" x14ac:dyDescent="0.3">
      <c r="A424" s="24" t="s">
        <v>2253</v>
      </c>
      <c r="B424" s="25" t="s">
        <v>296</v>
      </c>
      <c r="C424" s="24" t="s">
        <v>522</v>
      </c>
      <c r="D424" s="24" t="s">
        <v>2167</v>
      </c>
      <c r="E424" s="24" t="s">
        <v>2168</v>
      </c>
      <c r="F424" s="24" t="s">
        <v>2254</v>
      </c>
      <c r="G424" s="24" t="s">
        <v>333</v>
      </c>
      <c r="H424" s="24" t="s">
        <v>2170</v>
      </c>
      <c r="I424" s="24">
        <v>120</v>
      </c>
      <c r="J424" s="24">
        <v>0</v>
      </c>
      <c r="K424" s="24"/>
      <c r="L424" s="24" t="s">
        <v>355</v>
      </c>
      <c r="M424" s="24" t="s">
        <v>2255</v>
      </c>
      <c r="N424" s="26" t="s">
        <v>30</v>
      </c>
      <c r="O424" s="26" t="s">
        <v>30</v>
      </c>
      <c r="P424" s="26" t="s">
        <v>30</v>
      </c>
      <c r="Q424" s="24">
        <v>19000</v>
      </c>
      <c r="R424" s="26" t="str">
        <f t="shared" si="6"/>
        <v>تقديم طلب</v>
      </c>
      <c r="S424" s="32" t="s">
        <v>4396</v>
      </c>
    </row>
    <row r="425" spans="1:19" s="23" customFormat="1" ht="180" x14ac:dyDescent="0.3">
      <c r="A425" s="24" t="s">
        <v>2272</v>
      </c>
      <c r="B425" s="25" t="s">
        <v>296</v>
      </c>
      <c r="C425" s="24" t="s">
        <v>297</v>
      </c>
      <c r="D425" s="24" t="s">
        <v>2273</v>
      </c>
      <c r="E425" s="24" t="s">
        <v>2274</v>
      </c>
      <c r="F425" s="24" t="s">
        <v>2275</v>
      </c>
      <c r="G425" s="24" t="s">
        <v>2276</v>
      </c>
      <c r="H425" s="24" t="s">
        <v>2277</v>
      </c>
      <c r="I425" s="24">
        <v>201</v>
      </c>
      <c r="J425" s="24">
        <v>0</v>
      </c>
      <c r="K425" s="24"/>
      <c r="L425" s="24" t="s">
        <v>2278</v>
      </c>
      <c r="M425" s="24" t="s">
        <v>2279</v>
      </c>
      <c r="N425" s="26" t="s">
        <v>30</v>
      </c>
      <c r="O425" s="26" t="s">
        <v>30</v>
      </c>
      <c r="P425" s="26" t="str">
        <f>IF(NOT("https://maps.app.goo.gl/HpwzmeKxKUEVLoYZ7" = ""), HYPERLINK("https://maps.app.goo.gl/HpwzmeKxKUEVLoYZ7", "موقع"), "")</f>
        <v>موقع</v>
      </c>
      <c r="Q425" s="24">
        <v>397000</v>
      </c>
      <c r="R425" s="26" t="str">
        <f t="shared" si="6"/>
        <v>تقديم طلب</v>
      </c>
      <c r="S425" s="32" t="s">
        <v>4397</v>
      </c>
    </row>
    <row r="426" spans="1:19" s="23" customFormat="1" ht="105" x14ac:dyDescent="0.3">
      <c r="A426" s="24" t="s">
        <v>2321</v>
      </c>
      <c r="B426" s="25" t="s">
        <v>296</v>
      </c>
      <c r="C426" s="24" t="s">
        <v>315</v>
      </c>
      <c r="D426" s="24" t="s">
        <v>2273</v>
      </c>
      <c r="E426" s="24" t="s">
        <v>2274</v>
      </c>
      <c r="F426" s="24" t="s">
        <v>2322</v>
      </c>
      <c r="G426" s="24" t="s">
        <v>2323</v>
      </c>
      <c r="H426" s="24" t="s">
        <v>2324</v>
      </c>
      <c r="I426" s="24">
        <v>463</v>
      </c>
      <c r="J426" s="24">
        <v>0</v>
      </c>
      <c r="K426" s="24"/>
      <c r="L426" s="24" t="s">
        <v>2325</v>
      </c>
      <c r="M426" s="24" t="s">
        <v>2326</v>
      </c>
      <c r="N426" s="26" t="s">
        <v>30</v>
      </c>
      <c r="O426" s="26" t="s">
        <v>30</v>
      </c>
      <c r="P426" s="26" t="s">
        <v>30</v>
      </c>
      <c r="Q426" s="24">
        <v>177000</v>
      </c>
      <c r="R426" s="26" t="str">
        <f t="shared" si="6"/>
        <v>تقديم طلب</v>
      </c>
      <c r="S426" s="32" t="s">
        <v>4398</v>
      </c>
    </row>
    <row r="427" spans="1:19" s="23" customFormat="1" ht="225" x14ac:dyDescent="0.3">
      <c r="A427" s="24" t="s">
        <v>2315</v>
      </c>
      <c r="B427" s="25" t="s">
        <v>296</v>
      </c>
      <c r="C427" s="24" t="s">
        <v>315</v>
      </c>
      <c r="D427" s="24" t="s">
        <v>2273</v>
      </c>
      <c r="E427" s="24" t="s">
        <v>2274</v>
      </c>
      <c r="F427" s="24" t="s">
        <v>2316</v>
      </c>
      <c r="G427" s="24" t="s">
        <v>2317</v>
      </c>
      <c r="H427" s="24" t="s">
        <v>2318</v>
      </c>
      <c r="I427" s="24">
        <v>98</v>
      </c>
      <c r="J427" s="24">
        <v>0</v>
      </c>
      <c r="K427" s="24"/>
      <c r="L427" s="24" t="s">
        <v>2319</v>
      </c>
      <c r="M427" s="24" t="s">
        <v>2320</v>
      </c>
      <c r="N427" s="26" t="s">
        <v>30</v>
      </c>
      <c r="O427" s="26" t="s">
        <v>30</v>
      </c>
      <c r="P427" s="26" t="str">
        <f>IF(NOT("https://maps.app.goo.gl/k355T1oootKL9wnWA" = ""), HYPERLINK("https://maps.app.goo.gl/k355T1oootKL9wnWA", "موقع"), "")</f>
        <v>موقع</v>
      </c>
      <c r="Q427" s="24">
        <v>121000</v>
      </c>
      <c r="R427" s="26" t="str">
        <f t="shared" si="6"/>
        <v>تقديم طلب</v>
      </c>
      <c r="S427" s="32" t="s">
        <v>4399</v>
      </c>
    </row>
    <row r="428" spans="1:19" s="23" customFormat="1" ht="225" x14ac:dyDescent="0.3">
      <c r="A428" s="24" t="s">
        <v>2309</v>
      </c>
      <c r="B428" s="25" t="s">
        <v>296</v>
      </c>
      <c r="C428" s="24" t="s">
        <v>315</v>
      </c>
      <c r="D428" s="24" t="s">
        <v>2273</v>
      </c>
      <c r="E428" s="24" t="s">
        <v>2274</v>
      </c>
      <c r="F428" s="24" t="s">
        <v>2310</v>
      </c>
      <c r="G428" s="24" t="s">
        <v>2311</v>
      </c>
      <c r="H428" s="24" t="s">
        <v>2312</v>
      </c>
      <c r="I428" s="24">
        <v>735</v>
      </c>
      <c r="J428" s="24">
        <v>0</v>
      </c>
      <c r="K428" s="24"/>
      <c r="L428" s="24" t="s">
        <v>2313</v>
      </c>
      <c r="M428" s="24" t="s">
        <v>2314</v>
      </c>
      <c r="N428" s="26" t="s">
        <v>30</v>
      </c>
      <c r="O428" s="26" t="s">
        <v>30</v>
      </c>
      <c r="P428" s="26" t="s">
        <v>30</v>
      </c>
      <c r="Q428" s="24">
        <v>60000</v>
      </c>
      <c r="R428" s="26" t="str">
        <f t="shared" si="6"/>
        <v>تقديم طلب</v>
      </c>
      <c r="S428" s="32" t="s">
        <v>4400</v>
      </c>
    </row>
    <row r="429" spans="1:19" s="23" customFormat="1" ht="240" x14ac:dyDescent="0.3">
      <c r="A429" s="24" t="s">
        <v>2305</v>
      </c>
      <c r="B429" s="25" t="s">
        <v>296</v>
      </c>
      <c r="C429" s="24" t="s">
        <v>315</v>
      </c>
      <c r="D429" s="24" t="s">
        <v>2273</v>
      </c>
      <c r="E429" s="24" t="s">
        <v>2274</v>
      </c>
      <c r="F429" s="24" t="s">
        <v>2275</v>
      </c>
      <c r="G429" s="24" t="s">
        <v>2306</v>
      </c>
      <c r="H429" s="24" t="s">
        <v>345</v>
      </c>
      <c r="I429" s="24">
        <v>700</v>
      </c>
      <c r="J429" s="24">
        <v>0</v>
      </c>
      <c r="K429" s="24"/>
      <c r="L429" s="24" t="s">
        <v>2307</v>
      </c>
      <c r="M429" s="24" t="s">
        <v>2308</v>
      </c>
      <c r="N429" s="26" t="s">
        <v>30</v>
      </c>
      <c r="O429" s="26" t="s">
        <v>30</v>
      </c>
      <c r="P429" s="26" t="str">
        <f>IF(NOT("https://maps.app.goo.gl/AfnSgEKkf22T5P819" = ""), HYPERLINK("https://maps.app.goo.gl/AfnSgEKkf22T5P819", "موقع"), "")</f>
        <v>موقع</v>
      </c>
      <c r="Q429" s="24">
        <v>43000</v>
      </c>
      <c r="R429" s="26" t="str">
        <f t="shared" si="6"/>
        <v>تقديم طلب</v>
      </c>
      <c r="S429" s="32" t="s">
        <v>4401</v>
      </c>
    </row>
    <row r="430" spans="1:19" s="23" customFormat="1" ht="240" x14ac:dyDescent="0.3">
      <c r="A430" s="24" t="s">
        <v>2299</v>
      </c>
      <c r="B430" s="25" t="s">
        <v>296</v>
      </c>
      <c r="C430" s="24" t="s">
        <v>315</v>
      </c>
      <c r="D430" s="24" t="s">
        <v>2273</v>
      </c>
      <c r="E430" s="24" t="s">
        <v>2274</v>
      </c>
      <c r="F430" s="24" t="s">
        <v>2300</v>
      </c>
      <c r="G430" s="24" t="s">
        <v>2301</v>
      </c>
      <c r="H430" s="24" t="s">
        <v>2302</v>
      </c>
      <c r="I430" s="24">
        <v>490</v>
      </c>
      <c r="J430" s="24">
        <v>0</v>
      </c>
      <c r="K430" s="24"/>
      <c r="L430" s="24" t="s">
        <v>2303</v>
      </c>
      <c r="M430" s="24" t="s">
        <v>2304</v>
      </c>
      <c r="N430" s="26" t="s">
        <v>30</v>
      </c>
      <c r="O430" s="26" t="s">
        <v>30</v>
      </c>
      <c r="P430" s="26" t="str">
        <f>IF(NOT("https://maps.app.goo.gl/dN865BrbXKDGjGUB7" = ""), HYPERLINK("https://maps.app.goo.gl/dN865BrbXKDGjGUB7", "موقع"), "")</f>
        <v>موقع</v>
      </c>
      <c r="Q430" s="24">
        <v>33000</v>
      </c>
      <c r="R430" s="26" t="str">
        <f t="shared" si="6"/>
        <v>تقديم طلب</v>
      </c>
      <c r="S430" s="32" t="s">
        <v>4402</v>
      </c>
    </row>
    <row r="431" spans="1:19" s="23" customFormat="1" ht="315" x14ac:dyDescent="0.3">
      <c r="A431" s="24" t="s">
        <v>2293</v>
      </c>
      <c r="B431" s="25" t="s">
        <v>296</v>
      </c>
      <c r="C431" s="24" t="s">
        <v>315</v>
      </c>
      <c r="D431" s="24" t="s">
        <v>2273</v>
      </c>
      <c r="E431" s="24" t="s">
        <v>2274</v>
      </c>
      <c r="F431" s="24" t="s">
        <v>2294</v>
      </c>
      <c r="G431" s="24" t="s">
        <v>2295</v>
      </c>
      <c r="H431" s="24" t="s">
        <v>2296</v>
      </c>
      <c r="I431" s="24">
        <v>715</v>
      </c>
      <c r="J431" s="24">
        <v>0</v>
      </c>
      <c r="K431" s="24"/>
      <c r="L431" s="24" t="s">
        <v>2297</v>
      </c>
      <c r="M431" s="24" t="s">
        <v>2298</v>
      </c>
      <c r="N431" s="26" t="s">
        <v>30</v>
      </c>
      <c r="O431" s="26" t="s">
        <v>30</v>
      </c>
      <c r="P431" s="26" t="str">
        <f>IF(NOT("https://maps.app.goo.gl/UpXAnNYzm3PvHZLJ6" = ""), HYPERLINK("https://maps.app.goo.gl/UpXAnNYzm3PvHZLJ6", "موقع"), "")</f>
        <v>موقع</v>
      </c>
      <c r="Q431" s="24">
        <v>25000</v>
      </c>
      <c r="R431" s="26" t="str">
        <f t="shared" si="6"/>
        <v>تقديم طلب</v>
      </c>
      <c r="S431" s="32" t="s">
        <v>4403</v>
      </c>
    </row>
    <row r="432" spans="1:19" s="23" customFormat="1" ht="195" x14ac:dyDescent="0.3">
      <c r="A432" s="24" t="s">
        <v>2286</v>
      </c>
      <c r="B432" s="25" t="s">
        <v>296</v>
      </c>
      <c r="C432" s="24" t="s">
        <v>315</v>
      </c>
      <c r="D432" s="24" t="s">
        <v>2273</v>
      </c>
      <c r="E432" s="24" t="s">
        <v>2287</v>
      </c>
      <c r="F432" s="24" t="s">
        <v>2288</v>
      </c>
      <c r="G432" s="24" t="s">
        <v>2289</v>
      </c>
      <c r="H432" s="24" t="s">
        <v>2290</v>
      </c>
      <c r="I432" s="24">
        <v>732</v>
      </c>
      <c r="J432" s="24">
        <v>0</v>
      </c>
      <c r="K432" s="24"/>
      <c r="L432" s="24" t="s">
        <v>2291</v>
      </c>
      <c r="M432" s="24" t="s">
        <v>2292</v>
      </c>
      <c r="N432" s="26" t="s">
        <v>30</v>
      </c>
      <c r="O432" s="26" t="s">
        <v>30</v>
      </c>
      <c r="P432" s="26" t="str">
        <f>IF(NOT("https://maps.app.goo.gl/rFUTyaqvDHACyK45A" = ""), HYPERLINK("https://maps.app.goo.gl/rFUTyaqvDHACyK45A", "موقع"), "")</f>
        <v>موقع</v>
      </c>
      <c r="Q432" s="24">
        <v>18000</v>
      </c>
      <c r="R432" s="26" t="str">
        <f t="shared" si="6"/>
        <v>تقديم طلب</v>
      </c>
      <c r="S432" s="32" t="s">
        <v>4404</v>
      </c>
    </row>
    <row r="433" spans="1:19" s="23" customFormat="1" ht="105" x14ac:dyDescent="0.3">
      <c r="A433" s="24" t="s">
        <v>2280</v>
      </c>
      <c r="B433" s="25" t="s">
        <v>296</v>
      </c>
      <c r="C433" s="24" t="s">
        <v>315</v>
      </c>
      <c r="D433" s="24" t="s">
        <v>2273</v>
      </c>
      <c r="E433" s="24" t="s">
        <v>2274</v>
      </c>
      <c r="F433" s="24" t="s">
        <v>2281</v>
      </c>
      <c r="G433" s="24" t="s">
        <v>2282</v>
      </c>
      <c r="H433" s="24" t="s">
        <v>2283</v>
      </c>
      <c r="I433" s="24">
        <v>48</v>
      </c>
      <c r="J433" s="24">
        <v>0</v>
      </c>
      <c r="K433" s="24"/>
      <c r="L433" s="24" t="s">
        <v>2284</v>
      </c>
      <c r="M433" s="24" t="s">
        <v>2285</v>
      </c>
      <c r="N433" s="26" t="s">
        <v>30</v>
      </c>
      <c r="O433" s="26" t="s">
        <v>30</v>
      </c>
      <c r="P433" s="26" t="str">
        <f>IF(NOT("https://maps.app.goo.gl/zRJofH6h7xfat9uX6" = ""), HYPERLINK("https://maps.app.goo.gl/zRJofH6h7xfat9uX6", "موقع"), "")</f>
        <v>موقع</v>
      </c>
      <c r="Q433" s="24">
        <v>17000</v>
      </c>
      <c r="R433" s="26" t="str">
        <f t="shared" si="6"/>
        <v>تقديم طلب</v>
      </c>
      <c r="S433" s="32" t="s">
        <v>4405</v>
      </c>
    </row>
    <row r="434" spans="1:19" s="23" customFormat="1" ht="90" x14ac:dyDescent="0.3">
      <c r="A434" s="24" t="s">
        <v>2368</v>
      </c>
      <c r="B434" s="25" t="s">
        <v>468</v>
      </c>
      <c r="C434" s="24" t="s">
        <v>469</v>
      </c>
      <c r="D434" s="24" t="s">
        <v>2273</v>
      </c>
      <c r="E434" s="24" t="s">
        <v>2274</v>
      </c>
      <c r="F434" s="24" t="s">
        <v>2316</v>
      </c>
      <c r="G434" s="24" t="s">
        <v>2369</v>
      </c>
      <c r="H434" s="24" t="s">
        <v>2318</v>
      </c>
      <c r="I434" s="24">
        <v>16</v>
      </c>
      <c r="J434" s="24">
        <v>0</v>
      </c>
      <c r="K434" s="24"/>
      <c r="L434" s="24" t="s">
        <v>2370</v>
      </c>
      <c r="M434" s="24" t="s">
        <v>2335</v>
      </c>
      <c r="N434" s="26" t="s">
        <v>30</v>
      </c>
      <c r="O434" s="26" t="s">
        <v>30</v>
      </c>
      <c r="P434" s="26" t="str">
        <f>IF(NOT("https://maps.app.goo.gl/BBgu1F1fkuk4qHFDA" = ""), HYPERLINK("https://maps.app.goo.gl/BBgu1F1fkuk4qHFDA", "موقع"), "")</f>
        <v>موقع</v>
      </c>
      <c r="Q434" s="24">
        <v>76000</v>
      </c>
      <c r="R434" s="26" t="str">
        <f t="shared" si="6"/>
        <v>تقديم طلب</v>
      </c>
      <c r="S434" s="32" t="s">
        <v>4406</v>
      </c>
    </row>
    <row r="435" spans="1:19" s="23" customFormat="1" ht="90" x14ac:dyDescent="0.3">
      <c r="A435" s="24" t="s">
        <v>2365</v>
      </c>
      <c r="B435" s="25" t="s">
        <v>468</v>
      </c>
      <c r="C435" s="24" t="s">
        <v>469</v>
      </c>
      <c r="D435" s="24" t="s">
        <v>2273</v>
      </c>
      <c r="E435" s="24" t="s">
        <v>2274</v>
      </c>
      <c r="F435" s="24" t="s">
        <v>2316</v>
      </c>
      <c r="G435" s="24" t="s">
        <v>2366</v>
      </c>
      <c r="H435" s="24" t="s">
        <v>2318</v>
      </c>
      <c r="I435" s="24">
        <v>703</v>
      </c>
      <c r="J435" s="24">
        <v>0</v>
      </c>
      <c r="K435" s="24"/>
      <c r="L435" s="24" t="s">
        <v>2367</v>
      </c>
      <c r="M435" s="24" t="s">
        <v>2335</v>
      </c>
      <c r="N435" s="26" t="s">
        <v>30</v>
      </c>
      <c r="O435" s="26" t="s">
        <v>30</v>
      </c>
      <c r="P435" s="26" t="str">
        <f>IF(NOT("https://maps.app.goo.gl/MMsHNeujx3BPVZt17" = ""), HYPERLINK("https://maps.app.goo.gl/MMsHNeujx3BPVZt17", "موقع"), "")</f>
        <v>موقع</v>
      </c>
      <c r="Q435" s="24">
        <v>73000</v>
      </c>
      <c r="R435" s="26" t="str">
        <f t="shared" si="6"/>
        <v>تقديم طلب</v>
      </c>
      <c r="S435" s="32" t="s">
        <v>4407</v>
      </c>
    </row>
    <row r="436" spans="1:19" s="23" customFormat="1" ht="105" x14ac:dyDescent="0.3">
      <c r="A436" s="24" t="s">
        <v>2360</v>
      </c>
      <c r="B436" s="25" t="s">
        <v>468</v>
      </c>
      <c r="C436" s="24" t="s">
        <v>469</v>
      </c>
      <c r="D436" s="24" t="s">
        <v>2273</v>
      </c>
      <c r="E436" s="24" t="s">
        <v>2274</v>
      </c>
      <c r="F436" s="24" t="s">
        <v>2275</v>
      </c>
      <c r="G436" s="24" t="s">
        <v>2361</v>
      </c>
      <c r="H436" s="24" t="s">
        <v>2362</v>
      </c>
      <c r="I436" s="24">
        <v>306</v>
      </c>
      <c r="J436" s="24">
        <v>0</v>
      </c>
      <c r="K436" s="24"/>
      <c r="L436" s="24" t="s">
        <v>2363</v>
      </c>
      <c r="M436" s="24" t="s">
        <v>2364</v>
      </c>
      <c r="N436" s="26" t="s">
        <v>30</v>
      </c>
      <c r="O436" s="26" t="s">
        <v>30</v>
      </c>
      <c r="P436" s="26" t="str">
        <f>IF(NOT("https://maps.app.goo.gl/K8zsdyQ4hX6ALtGE9" = ""), HYPERLINK("https://maps.app.goo.gl/K8zsdyQ4hX6ALtGE9", "موقع"), "")</f>
        <v>موقع</v>
      </c>
      <c r="Q436" s="24">
        <v>49000</v>
      </c>
      <c r="R436" s="26" t="str">
        <f t="shared" si="6"/>
        <v>تقديم طلب</v>
      </c>
      <c r="S436" s="32" t="s">
        <v>4408</v>
      </c>
    </row>
    <row r="437" spans="1:19" s="23" customFormat="1" ht="90" x14ac:dyDescent="0.3">
      <c r="A437" s="24" t="s">
        <v>2357</v>
      </c>
      <c r="B437" s="25" t="s">
        <v>468</v>
      </c>
      <c r="C437" s="24" t="s">
        <v>469</v>
      </c>
      <c r="D437" s="24" t="s">
        <v>2273</v>
      </c>
      <c r="E437" s="24" t="s">
        <v>2274</v>
      </c>
      <c r="F437" s="24" t="s">
        <v>2341</v>
      </c>
      <c r="G437" s="24" t="s">
        <v>2347</v>
      </c>
      <c r="H437" s="24" t="s">
        <v>2343</v>
      </c>
      <c r="I437" s="24">
        <v>996</v>
      </c>
      <c r="J437" s="24">
        <v>0</v>
      </c>
      <c r="K437" s="24"/>
      <c r="L437" s="24" t="s">
        <v>2358</v>
      </c>
      <c r="M437" s="24" t="s">
        <v>2359</v>
      </c>
      <c r="N437" s="26" t="s">
        <v>30</v>
      </c>
      <c r="O437" s="26" t="s">
        <v>30</v>
      </c>
      <c r="P437" s="26" t="s">
        <v>30</v>
      </c>
      <c r="Q437" s="24">
        <v>40000</v>
      </c>
      <c r="R437" s="26" t="str">
        <f t="shared" si="6"/>
        <v>تقديم طلب</v>
      </c>
      <c r="S437" s="32" t="s">
        <v>4409</v>
      </c>
    </row>
    <row r="438" spans="1:19" s="23" customFormat="1" ht="90" x14ac:dyDescent="0.3">
      <c r="A438" s="24" t="s">
        <v>2353</v>
      </c>
      <c r="B438" s="25" t="s">
        <v>468</v>
      </c>
      <c r="C438" s="24" t="s">
        <v>469</v>
      </c>
      <c r="D438" s="24" t="s">
        <v>2273</v>
      </c>
      <c r="E438" s="24" t="s">
        <v>2274</v>
      </c>
      <c r="F438" s="24" t="s">
        <v>2328</v>
      </c>
      <c r="G438" s="24" t="s">
        <v>2354</v>
      </c>
      <c r="H438" s="24" t="s">
        <v>2330</v>
      </c>
      <c r="I438" s="24">
        <v>37</v>
      </c>
      <c r="J438" s="24">
        <v>0</v>
      </c>
      <c r="K438" s="24"/>
      <c r="L438" s="24" t="s">
        <v>2355</v>
      </c>
      <c r="M438" s="24" t="s">
        <v>2356</v>
      </c>
      <c r="N438" s="26" t="s">
        <v>30</v>
      </c>
      <c r="O438" s="26" t="s">
        <v>30</v>
      </c>
      <c r="P438" s="26" t="str">
        <f>IF(NOT("https://maps.app.goo.gl/UkRqktd5M8JZCG5VA" = ""), HYPERLINK("https://maps.app.goo.gl/UkRqktd5M8JZCG5VA", "موقع"), "")</f>
        <v>موقع</v>
      </c>
      <c r="Q438" s="24">
        <v>34000</v>
      </c>
      <c r="R438" s="26" t="str">
        <f t="shared" si="6"/>
        <v>تقديم طلب</v>
      </c>
      <c r="S438" s="32" t="s">
        <v>4410</v>
      </c>
    </row>
    <row r="439" spans="1:19" s="23" customFormat="1" ht="90" x14ac:dyDescent="0.3">
      <c r="A439" s="24" t="s">
        <v>2346</v>
      </c>
      <c r="B439" s="25" t="s">
        <v>468</v>
      </c>
      <c r="C439" s="24" t="s">
        <v>469</v>
      </c>
      <c r="D439" s="24" t="s">
        <v>2273</v>
      </c>
      <c r="E439" s="24" t="s">
        <v>2274</v>
      </c>
      <c r="F439" s="24" t="s">
        <v>2341</v>
      </c>
      <c r="G439" s="24" t="s">
        <v>2347</v>
      </c>
      <c r="H439" s="24" t="s">
        <v>2343</v>
      </c>
      <c r="I439" s="24">
        <v>993</v>
      </c>
      <c r="J439" s="24">
        <v>0</v>
      </c>
      <c r="K439" s="24"/>
      <c r="L439" s="24" t="s">
        <v>2348</v>
      </c>
      <c r="M439" s="24" t="s">
        <v>2349</v>
      </c>
      <c r="N439" s="26" t="s">
        <v>30</v>
      </c>
      <c r="O439" s="26" t="s">
        <v>30</v>
      </c>
      <c r="P439" s="26" t="s">
        <v>30</v>
      </c>
      <c r="Q439" s="24">
        <v>20000</v>
      </c>
      <c r="R439" s="26" t="str">
        <f t="shared" si="6"/>
        <v>تقديم طلب</v>
      </c>
      <c r="S439" s="32" t="s">
        <v>4411</v>
      </c>
    </row>
    <row r="440" spans="1:19" s="23" customFormat="1" ht="90" x14ac:dyDescent="0.3">
      <c r="A440" s="24" t="s">
        <v>2350</v>
      </c>
      <c r="B440" s="25" t="s">
        <v>468</v>
      </c>
      <c r="C440" s="24" t="s">
        <v>469</v>
      </c>
      <c r="D440" s="24" t="s">
        <v>2273</v>
      </c>
      <c r="E440" s="24" t="s">
        <v>2274</v>
      </c>
      <c r="F440" s="24" t="s">
        <v>2341</v>
      </c>
      <c r="G440" s="24" t="s">
        <v>2347</v>
      </c>
      <c r="H440" s="24" t="s">
        <v>2343</v>
      </c>
      <c r="I440" s="24">
        <v>994</v>
      </c>
      <c r="J440" s="24">
        <v>0</v>
      </c>
      <c r="K440" s="24"/>
      <c r="L440" s="24" t="s">
        <v>2351</v>
      </c>
      <c r="M440" s="24" t="s">
        <v>2352</v>
      </c>
      <c r="N440" s="26" t="s">
        <v>30</v>
      </c>
      <c r="O440" s="26" t="s">
        <v>30</v>
      </c>
      <c r="P440" s="26" t="s">
        <v>30</v>
      </c>
      <c r="Q440" s="24">
        <v>20000</v>
      </c>
      <c r="R440" s="26" t="str">
        <f t="shared" si="6"/>
        <v>تقديم طلب</v>
      </c>
      <c r="S440" s="32" t="s">
        <v>4412</v>
      </c>
    </row>
    <row r="441" spans="1:19" s="23" customFormat="1" ht="90" x14ac:dyDescent="0.3">
      <c r="A441" s="24" t="s">
        <v>2340</v>
      </c>
      <c r="B441" s="25" t="s">
        <v>468</v>
      </c>
      <c r="C441" s="24" t="s">
        <v>469</v>
      </c>
      <c r="D441" s="24" t="s">
        <v>2273</v>
      </c>
      <c r="E441" s="24" t="s">
        <v>2274</v>
      </c>
      <c r="F441" s="24" t="s">
        <v>2341</v>
      </c>
      <c r="G441" s="24" t="s">
        <v>2342</v>
      </c>
      <c r="H441" s="24" t="s">
        <v>2343</v>
      </c>
      <c r="I441" s="24">
        <v>724</v>
      </c>
      <c r="J441" s="24">
        <v>0</v>
      </c>
      <c r="K441" s="24"/>
      <c r="L441" s="24" t="s">
        <v>2344</v>
      </c>
      <c r="M441" s="24" t="s">
        <v>2345</v>
      </c>
      <c r="N441" s="26" t="s">
        <v>30</v>
      </c>
      <c r="O441" s="26" t="s">
        <v>30</v>
      </c>
      <c r="P441" s="26" t="str">
        <f>IF(NOT("https://maps.app.goo.gl/MwwRAxQ13wK14qUJA" = ""), HYPERLINK("https://maps.app.goo.gl/MwwRAxQ13wK14qUJA", "موقع"), "")</f>
        <v>موقع</v>
      </c>
      <c r="Q441" s="24">
        <v>11000</v>
      </c>
      <c r="R441" s="26" t="str">
        <f t="shared" si="6"/>
        <v>تقديم طلب</v>
      </c>
      <c r="S441" s="32" t="s">
        <v>4413</v>
      </c>
    </row>
    <row r="442" spans="1:19" s="23" customFormat="1" ht="120" x14ac:dyDescent="0.3">
      <c r="A442" s="24" t="s">
        <v>2336</v>
      </c>
      <c r="B442" s="25" t="s">
        <v>468</v>
      </c>
      <c r="C442" s="24" t="s">
        <v>469</v>
      </c>
      <c r="D442" s="24" t="s">
        <v>2273</v>
      </c>
      <c r="E442" s="24" t="s">
        <v>2274</v>
      </c>
      <c r="F442" s="24" t="s">
        <v>2316</v>
      </c>
      <c r="G442" s="24" t="s">
        <v>2337</v>
      </c>
      <c r="H442" s="24" t="s">
        <v>2318</v>
      </c>
      <c r="I442" s="24">
        <v>245</v>
      </c>
      <c r="J442" s="24">
        <v>0</v>
      </c>
      <c r="K442" s="24"/>
      <c r="L442" s="24" t="s">
        <v>2338</v>
      </c>
      <c r="M442" s="24" t="s">
        <v>2339</v>
      </c>
      <c r="N442" s="26" t="s">
        <v>30</v>
      </c>
      <c r="O442" s="26" t="s">
        <v>30</v>
      </c>
      <c r="P442" s="26" t="str">
        <f>IF(NOT("https://maps.app.goo.gl/dT6kJTV6k5NGPTyG9" = ""), HYPERLINK("https://maps.app.goo.gl/dT6kJTV6k5NGPTyG9", "موقع"), "")</f>
        <v>موقع</v>
      </c>
      <c r="Q442" s="24">
        <v>6000</v>
      </c>
      <c r="R442" s="26" t="str">
        <f t="shared" si="6"/>
        <v>تقديم طلب</v>
      </c>
      <c r="S442" s="32" t="s">
        <v>4414</v>
      </c>
    </row>
    <row r="443" spans="1:19" s="23" customFormat="1" ht="90" x14ac:dyDescent="0.3">
      <c r="A443" s="24" t="s">
        <v>2332</v>
      </c>
      <c r="B443" s="25" t="s">
        <v>468</v>
      </c>
      <c r="C443" s="24" t="s">
        <v>469</v>
      </c>
      <c r="D443" s="24" t="s">
        <v>2273</v>
      </c>
      <c r="E443" s="24" t="s">
        <v>2274</v>
      </c>
      <c r="F443" s="24" t="s">
        <v>2316</v>
      </c>
      <c r="G443" s="24" t="s">
        <v>2333</v>
      </c>
      <c r="H443" s="24" t="s">
        <v>2318</v>
      </c>
      <c r="I443" s="24">
        <v>740</v>
      </c>
      <c r="J443" s="24">
        <v>0</v>
      </c>
      <c r="K443" s="24"/>
      <c r="L443" s="24" t="s">
        <v>2334</v>
      </c>
      <c r="M443" s="24" t="s">
        <v>2335</v>
      </c>
      <c r="N443" s="26" t="s">
        <v>30</v>
      </c>
      <c r="O443" s="26" t="s">
        <v>30</v>
      </c>
      <c r="P443" s="26" t="str">
        <f>IF(NOT("https://maps.app.goo.gl/kc7U7YQmM5T89Xcu7" = ""), HYPERLINK("https://maps.app.goo.gl/kc7U7YQmM5T89Xcu7", "موقع"), "")</f>
        <v>موقع</v>
      </c>
      <c r="Q443" s="24">
        <v>5000</v>
      </c>
      <c r="R443" s="26" t="str">
        <f t="shared" si="6"/>
        <v>تقديم طلب</v>
      </c>
      <c r="S443" s="32" t="s">
        <v>4415</v>
      </c>
    </row>
    <row r="444" spans="1:19" s="23" customFormat="1" ht="90" x14ac:dyDescent="0.3">
      <c r="A444" s="24" t="s">
        <v>2376</v>
      </c>
      <c r="B444" s="25" t="s">
        <v>296</v>
      </c>
      <c r="C444" s="24" t="s">
        <v>522</v>
      </c>
      <c r="D444" s="24" t="s">
        <v>2273</v>
      </c>
      <c r="E444" s="24" t="s">
        <v>2274</v>
      </c>
      <c r="F444" s="24" t="s">
        <v>2377</v>
      </c>
      <c r="G444" s="24" t="s">
        <v>2276</v>
      </c>
      <c r="H444" s="24" t="s">
        <v>2330</v>
      </c>
      <c r="I444" s="24">
        <v>706</v>
      </c>
      <c r="J444" s="24">
        <v>0</v>
      </c>
      <c r="K444" s="24"/>
      <c r="L444" s="24" t="s">
        <v>2378</v>
      </c>
      <c r="M444" s="24" t="s">
        <v>2379</v>
      </c>
      <c r="N444" s="26" t="s">
        <v>30</v>
      </c>
      <c r="O444" s="26" t="s">
        <v>30</v>
      </c>
      <c r="P444" s="26" t="str">
        <f>IF(NOT("https://maps.app.goo.gl/RFbjktinC4wAW5hL7" = ""), HYPERLINK("https://maps.app.goo.gl/RFbjktinC4wAW5hL7", "موقع"), "")</f>
        <v>موقع</v>
      </c>
      <c r="Q444" s="24">
        <v>17000</v>
      </c>
      <c r="R444" s="26" t="str">
        <f t="shared" si="6"/>
        <v>تقديم طلب</v>
      </c>
      <c r="S444" s="32" t="s">
        <v>4416</v>
      </c>
    </row>
    <row r="445" spans="1:19" s="23" customFormat="1" ht="90" x14ac:dyDescent="0.3">
      <c r="A445" s="24" t="s">
        <v>2380</v>
      </c>
      <c r="B445" s="25" t="s">
        <v>21</v>
      </c>
      <c r="C445" s="24" t="s">
        <v>59</v>
      </c>
      <c r="D445" s="24" t="s">
        <v>2381</v>
      </c>
      <c r="E445" s="24" t="s">
        <v>2382</v>
      </c>
      <c r="F445" s="24" t="s">
        <v>2383</v>
      </c>
      <c r="G445" s="24" t="s">
        <v>2384</v>
      </c>
      <c r="H445" s="24" t="s">
        <v>345</v>
      </c>
      <c r="I445" s="24">
        <v>1239</v>
      </c>
      <c r="J445" s="24">
        <v>132</v>
      </c>
      <c r="K445" s="24" t="s">
        <v>55</v>
      </c>
      <c r="L445" s="24" t="s">
        <v>1227</v>
      </c>
      <c r="M445" s="24" t="s">
        <v>2385</v>
      </c>
      <c r="N445" s="26" t="s">
        <v>30</v>
      </c>
      <c r="O445" s="26" t="s">
        <v>30</v>
      </c>
      <c r="P445" s="26" t="s">
        <v>30</v>
      </c>
      <c r="Q445" s="24">
        <v>33000</v>
      </c>
      <c r="R445" s="26" t="str">
        <f t="shared" si="6"/>
        <v>تقديم طلب</v>
      </c>
      <c r="S445" s="32" t="s">
        <v>4417</v>
      </c>
    </row>
    <row r="446" spans="1:19" s="23" customFormat="1" ht="165" x14ac:dyDescent="0.3">
      <c r="A446" s="24" t="s">
        <v>2386</v>
      </c>
      <c r="B446" s="25" t="s">
        <v>296</v>
      </c>
      <c r="C446" s="24" t="s">
        <v>297</v>
      </c>
      <c r="D446" s="24" t="s">
        <v>2381</v>
      </c>
      <c r="E446" s="24" t="s">
        <v>2382</v>
      </c>
      <c r="F446" s="24" t="s">
        <v>2383</v>
      </c>
      <c r="G446" s="24" t="s">
        <v>2387</v>
      </c>
      <c r="H446" s="24" t="s">
        <v>345</v>
      </c>
      <c r="I446" s="24">
        <v>348</v>
      </c>
      <c r="J446" s="24">
        <v>0</v>
      </c>
      <c r="K446" s="24"/>
      <c r="L446" s="24" t="s">
        <v>2388</v>
      </c>
      <c r="M446" s="24" t="s">
        <v>2389</v>
      </c>
      <c r="N446" s="26" t="s">
        <v>30</v>
      </c>
      <c r="O446" s="26" t="s">
        <v>30</v>
      </c>
      <c r="P446" s="26" t="str">
        <f>IF(NOT("https://maps.app.goo.gl/xE3sXfjyUEiWQcwe9" = ""), HYPERLINK("https://maps.app.goo.gl/xE3sXfjyUEiWQcwe9", "موقع"), "")</f>
        <v>موقع</v>
      </c>
      <c r="Q446" s="24">
        <v>341000</v>
      </c>
      <c r="R446" s="26" t="str">
        <f t="shared" si="6"/>
        <v>تقديم طلب</v>
      </c>
      <c r="S446" s="32" t="s">
        <v>4418</v>
      </c>
    </row>
    <row r="447" spans="1:19" s="23" customFormat="1" ht="90" x14ac:dyDescent="0.3">
      <c r="A447" s="24" t="s">
        <v>2396</v>
      </c>
      <c r="B447" s="25" t="s">
        <v>296</v>
      </c>
      <c r="C447" s="24" t="s">
        <v>315</v>
      </c>
      <c r="D447" s="24" t="s">
        <v>2381</v>
      </c>
      <c r="E447" s="24" t="s">
        <v>2382</v>
      </c>
      <c r="F447" s="24" t="s">
        <v>2383</v>
      </c>
      <c r="G447" s="24" t="s">
        <v>2397</v>
      </c>
      <c r="H447" s="24" t="s">
        <v>345</v>
      </c>
      <c r="I447" s="24">
        <v>599</v>
      </c>
      <c r="J447" s="24">
        <v>0</v>
      </c>
      <c r="K447" s="24"/>
      <c r="L447" s="24" t="s">
        <v>2398</v>
      </c>
      <c r="M447" s="24" t="s">
        <v>2399</v>
      </c>
      <c r="N447" s="26" t="s">
        <v>30</v>
      </c>
      <c r="O447" s="26" t="s">
        <v>30</v>
      </c>
      <c r="P447" s="26" t="s">
        <v>30</v>
      </c>
      <c r="Q447" s="24">
        <v>314000</v>
      </c>
      <c r="R447" s="26" t="str">
        <f t="shared" si="6"/>
        <v>تقديم طلب</v>
      </c>
      <c r="S447" s="32" t="s">
        <v>4419</v>
      </c>
    </row>
    <row r="448" spans="1:19" s="23" customFormat="1" ht="105" x14ac:dyDescent="0.3">
      <c r="A448" s="24" t="s">
        <v>2390</v>
      </c>
      <c r="B448" s="25" t="s">
        <v>296</v>
      </c>
      <c r="C448" s="24" t="s">
        <v>315</v>
      </c>
      <c r="D448" s="24" t="s">
        <v>2381</v>
      </c>
      <c r="E448" s="24" t="s">
        <v>2382</v>
      </c>
      <c r="F448" s="24" t="s">
        <v>2391</v>
      </c>
      <c r="G448" s="24" t="s">
        <v>2392</v>
      </c>
      <c r="H448" s="24" t="s">
        <v>2393</v>
      </c>
      <c r="I448" s="24">
        <v>715</v>
      </c>
      <c r="J448" s="24">
        <v>0</v>
      </c>
      <c r="K448" s="24"/>
      <c r="L448" s="24" t="s">
        <v>2394</v>
      </c>
      <c r="M448" s="24" t="s">
        <v>2395</v>
      </c>
      <c r="N448" s="26" t="s">
        <v>30</v>
      </c>
      <c r="O448" s="26" t="s">
        <v>30</v>
      </c>
      <c r="P448" s="26" t="s">
        <v>30</v>
      </c>
      <c r="Q448" s="24">
        <v>77000</v>
      </c>
      <c r="R448" s="26" t="str">
        <f t="shared" si="6"/>
        <v>تقديم طلب</v>
      </c>
      <c r="S448" s="32" t="s">
        <v>4420</v>
      </c>
    </row>
    <row r="449" spans="1:19" s="23" customFormat="1" ht="120" x14ac:dyDescent="0.3">
      <c r="A449" s="24" t="s">
        <v>2404</v>
      </c>
      <c r="B449" s="25" t="s">
        <v>468</v>
      </c>
      <c r="C449" s="24" t="s">
        <v>469</v>
      </c>
      <c r="D449" s="24" t="s">
        <v>2381</v>
      </c>
      <c r="E449" s="24" t="s">
        <v>2382</v>
      </c>
      <c r="F449" s="24" t="s">
        <v>2383</v>
      </c>
      <c r="G449" s="24" t="s">
        <v>2405</v>
      </c>
      <c r="H449" s="24" t="s">
        <v>345</v>
      </c>
      <c r="I449" s="24">
        <v>1602</v>
      </c>
      <c r="J449" s="24">
        <v>0</v>
      </c>
      <c r="K449" s="24"/>
      <c r="L449" s="24" t="s">
        <v>2406</v>
      </c>
      <c r="M449" s="24" t="s">
        <v>2407</v>
      </c>
      <c r="N449" s="26" t="s">
        <v>30</v>
      </c>
      <c r="O449" s="26" t="str">
        <f>IF(NOT("https://www.true-markets.net/media/360tour/housing-bank/1602/index.html" = ""), HYPERLINK("https://www.true-markets.net/media/360tour/housing-bank/1602/index.html", "جولة"), "")</f>
        <v>جولة</v>
      </c>
      <c r="P449" s="26" t="str">
        <f>IF(NOT("https://maps.app.goo.gl/KaBoiGDnFFndWYHSA" = ""), HYPERLINK("https://maps.app.goo.gl/KaBoiGDnFFndWYHSA", "موقع"), "")</f>
        <v>موقع</v>
      </c>
      <c r="Q449" s="24">
        <v>100000</v>
      </c>
      <c r="R449" s="26" t="str">
        <f t="shared" si="6"/>
        <v>تقديم طلب</v>
      </c>
      <c r="S449" s="32" t="s">
        <v>4421</v>
      </c>
    </row>
    <row r="450" spans="1:19" s="23" customFormat="1" ht="90" x14ac:dyDescent="0.3">
      <c r="A450" s="24" t="s">
        <v>2413</v>
      </c>
      <c r="B450" s="25" t="s">
        <v>21</v>
      </c>
      <c r="C450" s="24" t="s">
        <v>59</v>
      </c>
      <c r="D450" s="24" t="s">
        <v>2414</v>
      </c>
      <c r="E450" s="24" t="s">
        <v>2415</v>
      </c>
      <c r="F450" s="24" t="s">
        <v>2416</v>
      </c>
      <c r="G450" s="24" t="s">
        <v>2417</v>
      </c>
      <c r="H450" s="24" t="s">
        <v>2418</v>
      </c>
      <c r="I450" s="24">
        <v>388</v>
      </c>
      <c r="J450" s="24">
        <v>-101</v>
      </c>
      <c r="K450" s="24" t="s">
        <v>33</v>
      </c>
      <c r="L450" s="24" t="s">
        <v>2419</v>
      </c>
      <c r="M450" s="24" t="s">
        <v>2420</v>
      </c>
      <c r="N450" s="26" t="s">
        <v>30</v>
      </c>
      <c r="O450" s="26" t="s">
        <v>30</v>
      </c>
      <c r="P450" s="26" t="s">
        <v>30</v>
      </c>
      <c r="Q450" s="24">
        <v>12000</v>
      </c>
      <c r="R450" s="26" t="str">
        <f t="shared" si="6"/>
        <v>تقديم طلب</v>
      </c>
      <c r="S450" s="32" t="s">
        <v>4422</v>
      </c>
    </row>
    <row r="451" spans="1:19" s="23" customFormat="1" ht="90" x14ac:dyDescent="0.3">
      <c r="A451" s="24" t="s">
        <v>2421</v>
      </c>
      <c r="B451" s="25" t="s">
        <v>296</v>
      </c>
      <c r="C451" s="24" t="s">
        <v>315</v>
      </c>
      <c r="D451" s="24" t="s">
        <v>2414</v>
      </c>
      <c r="E451" s="24" t="s">
        <v>2415</v>
      </c>
      <c r="F451" s="24" t="s">
        <v>2422</v>
      </c>
      <c r="G451" s="24" t="s">
        <v>2423</v>
      </c>
      <c r="H451" s="24" t="s">
        <v>2424</v>
      </c>
      <c r="I451" s="24">
        <v>76</v>
      </c>
      <c r="J451" s="24">
        <v>0</v>
      </c>
      <c r="K451" s="24"/>
      <c r="L451" s="24" t="s">
        <v>2425</v>
      </c>
      <c r="M451" s="24" t="s">
        <v>2426</v>
      </c>
      <c r="N451" s="26" t="s">
        <v>30</v>
      </c>
      <c r="O451" s="26" t="s">
        <v>30</v>
      </c>
      <c r="P451" s="26" t="str">
        <f>IF(NOT("https://maps.app.goo.gl/7HoWuNweyFZqUTVC8" = ""), HYPERLINK("https://maps.app.goo.gl/7HoWuNweyFZqUTVC8", "موقع"), "")</f>
        <v>موقع</v>
      </c>
      <c r="Q451" s="24">
        <v>197000</v>
      </c>
      <c r="R451" s="26" t="str">
        <f t="shared" si="6"/>
        <v>تقديم طلب</v>
      </c>
      <c r="S451" s="32" t="s">
        <v>4423</v>
      </c>
    </row>
    <row r="452" spans="1:19" s="23" customFormat="1" ht="300" x14ac:dyDescent="0.3">
      <c r="A452" s="24" t="s">
        <v>2427</v>
      </c>
      <c r="B452" s="25" t="s">
        <v>468</v>
      </c>
      <c r="C452" s="24" t="s">
        <v>469</v>
      </c>
      <c r="D452" s="24" t="s">
        <v>2414</v>
      </c>
      <c r="E452" s="24" t="s">
        <v>2415</v>
      </c>
      <c r="F452" s="24" t="s">
        <v>2428</v>
      </c>
      <c r="G452" s="24" t="s">
        <v>2429</v>
      </c>
      <c r="H452" s="24" t="s">
        <v>762</v>
      </c>
      <c r="I452" s="24">
        <v>302</v>
      </c>
      <c r="J452" s="24">
        <v>0</v>
      </c>
      <c r="K452" s="24"/>
      <c r="L452" s="24" t="s">
        <v>2430</v>
      </c>
      <c r="M452" s="24" t="s">
        <v>2431</v>
      </c>
      <c r="N452" s="26" t="s">
        <v>30</v>
      </c>
      <c r="O452" s="26" t="s">
        <v>30</v>
      </c>
      <c r="P452" s="26" t="str">
        <f>IF(NOT("https://maps.app.goo.gl/pYfd6JHCkMS6CqcM9" = ""), HYPERLINK("https://maps.app.goo.gl/pYfd6JHCkMS6CqcM9", "موقع"), "")</f>
        <v>موقع</v>
      </c>
      <c r="Q452" s="24">
        <v>106000</v>
      </c>
      <c r="R452" s="26" t="str">
        <f t="shared" ref="R452:R459" si="7">HYPERLINK(S452,"تقديم طلب")</f>
        <v>تقديم طلب</v>
      </c>
      <c r="S452" s="32" t="s">
        <v>4424</v>
      </c>
    </row>
    <row r="453" spans="1:19" s="23" customFormat="1" ht="90" x14ac:dyDescent="0.3">
      <c r="A453" s="24" t="s">
        <v>2440</v>
      </c>
      <c r="B453" s="25" t="s">
        <v>21</v>
      </c>
      <c r="C453" s="24" t="s">
        <v>59</v>
      </c>
      <c r="D453" s="24" t="s">
        <v>2433</v>
      </c>
      <c r="E453" s="24" t="s">
        <v>2434</v>
      </c>
      <c r="F453" s="24" t="s">
        <v>2441</v>
      </c>
      <c r="G453" s="24" t="s">
        <v>2442</v>
      </c>
      <c r="H453" s="24" t="s">
        <v>345</v>
      </c>
      <c r="I453" s="24">
        <v>667</v>
      </c>
      <c r="J453" s="24">
        <v>122</v>
      </c>
      <c r="K453" s="24" t="s">
        <v>73</v>
      </c>
      <c r="L453" s="24" t="s">
        <v>121</v>
      </c>
      <c r="M453" s="24" t="s">
        <v>2443</v>
      </c>
      <c r="N453" s="26" t="s">
        <v>30</v>
      </c>
      <c r="O453" s="26" t="s">
        <v>30</v>
      </c>
      <c r="P453" s="26" t="s">
        <v>30</v>
      </c>
      <c r="Q453" s="24">
        <v>52000</v>
      </c>
      <c r="R453" s="26" t="str">
        <f t="shared" si="7"/>
        <v>تقديم طلب</v>
      </c>
      <c r="S453" s="32" t="s">
        <v>4425</v>
      </c>
    </row>
    <row r="454" spans="1:19" s="23" customFormat="1" ht="90" x14ac:dyDescent="0.3">
      <c r="A454" s="24" t="s">
        <v>2432</v>
      </c>
      <c r="B454" s="25" t="s">
        <v>21</v>
      </c>
      <c r="C454" s="24" t="s">
        <v>59</v>
      </c>
      <c r="D454" s="24" t="s">
        <v>2433</v>
      </c>
      <c r="E454" s="24" t="s">
        <v>2434</v>
      </c>
      <c r="F454" s="24" t="s">
        <v>2435</v>
      </c>
      <c r="G454" s="24" t="s">
        <v>2436</v>
      </c>
      <c r="H454" s="24" t="s">
        <v>2437</v>
      </c>
      <c r="I454" s="24">
        <v>1284</v>
      </c>
      <c r="J454" s="24">
        <v>113</v>
      </c>
      <c r="K454" s="24" t="s">
        <v>43</v>
      </c>
      <c r="L454" s="24" t="s">
        <v>2438</v>
      </c>
      <c r="M454" s="24" t="s">
        <v>2439</v>
      </c>
      <c r="N454" s="26" t="s">
        <v>30</v>
      </c>
      <c r="O454" s="26" t="s">
        <v>30</v>
      </c>
      <c r="P454" s="26" t="str">
        <f>IF(NOT("https://maps.app.goo.gl/GMiasNieJjGjXAxcA" = ""), HYPERLINK("https://maps.app.goo.gl/GMiasNieJjGjXAxcA", "موقع"), "")</f>
        <v>موقع</v>
      </c>
      <c r="Q454" s="24">
        <v>18000</v>
      </c>
      <c r="R454" s="26" t="str">
        <f t="shared" si="7"/>
        <v>تقديم طلب</v>
      </c>
      <c r="S454" s="32" t="s">
        <v>4426</v>
      </c>
    </row>
    <row r="455" spans="1:19" s="23" customFormat="1" ht="225" x14ac:dyDescent="0.3">
      <c r="A455" s="24" t="s">
        <v>2457</v>
      </c>
      <c r="B455" s="25" t="s">
        <v>296</v>
      </c>
      <c r="C455" s="24" t="s">
        <v>315</v>
      </c>
      <c r="D455" s="24" t="s">
        <v>2433</v>
      </c>
      <c r="E455" s="24" t="s">
        <v>2434</v>
      </c>
      <c r="F455" s="24" t="s">
        <v>2458</v>
      </c>
      <c r="G455" s="24" t="s">
        <v>2459</v>
      </c>
      <c r="H455" s="24" t="s">
        <v>2447</v>
      </c>
      <c r="I455" s="24">
        <v>240</v>
      </c>
      <c r="J455" s="24">
        <v>0</v>
      </c>
      <c r="K455" s="24"/>
      <c r="L455" s="24" t="s">
        <v>2460</v>
      </c>
      <c r="M455" s="24" t="s">
        <v>2461</v>
      </c>
      <c r="N455" s="26" t="s">
        <v>30</v>
      </c>
      <c r="O455" s="26" t="s">
        <v>30</v>
      </c>
      <c r="P455" s="26" t="str">
        <f>IF(NOT("https://maps.app.goo.gl/zwdKSeXXDy4wGL3fA" = ""), HYPERLINK("https://maps.app.goo.gl/zwdKSeXXDy4wGL3fA", "موقع"), "")</f>
        <v>موقع</v>
      </c>
      <c r="Q455" s="24">
        <v>116000</v>
      </c>
      <c r="R455" s="26" t="str">
        <f t="shared" si="7"/>
        <v>تقديم طلب</v>
      </c>
      <c r="S455" s="32" t="s">
        <v>4427</v>
      </c>
    </row>
    <row r="456" spans="1:19" s="23" customFormat="1" ht="135" x14ac:dyDescent="0.3">
      <c r="A456" s="24" t="s">
        <v>2462</v>
      </c>
      <c r="B456" s="25" t="s">
        <v>468</v>
      </c>
      <c r="C456" s="24" t="s">
        <v>469</v>
      </c>
      <c r="D456" s="24" t="s">
        <v>2433</v>
      </c>
      <c r="E456" s="24" t="s">
        <v>2463</v>
      </c>
      <c r="F456" s="24" t="s">
        <v>2464</v>
      </c>
      <c r="G456" s="24" t="s">
        <v>2465</v>
      </c>
      <c r="H456" s="24" t="s">
        <v>2466</v>
      </c>
      <c r="I456" s="24">
        <v>129</v>
      </c>
      <c r="J456" s="24">
        <v>0</v>
      </c>
      <c r="K456" s="24"/>
      <c r="L456" s="24" t="s">
        <v>1912</v>
      </c>
      <c r="M456" s="24" t="s">
        <v>2467</v>
      </c>
      <c r="N456" s="26" t="s">
        <v>30</v>
      </c>
      <c r="O456" s="26" t="s">
        <v>30</v>
      </c>
      <c r="P456" s="26" t="str">
        <f>IF(NOT("https://maps.app.goo.gl/kNG5M5KvurE2uci67" = ""), HYPERLINK("https://maps.app.goo.gl/kNG5M5KvurE2uci67", "موقع"), "")</f>
        <v>موقع</v>
      </c>
      <c r="Q456" s="24">
        <v>12000</v>
      </c>
      <c r="R456" s="26" t="str">
        <f t="shared" si="7"/>
        <v>تقديم طلب</v>
      </c>
      <c r="S456" s="32" t="s">
        <v>4428</v>
      </c>
    </row>
    <row r="457" spans="1:19" s="23" customFormat="1" ht="180" x14ac:dyDescent="0.3">
      <c r="A457" s="24" t="s">
        <v>2473</v>
      </c>
      <c r="B457" s="25" t="s">
        <v>468</v>
      </c>
      <c r="C457" s="24" t="s">
        <v>516</v>
      </c>
      <c r="D457" s="24" t="s">
        <v>2433</v>
      </c>
      <c r="E457" s="24" t="s">
        <v>2463</v>
      </c>
      <c r="F457" s="24" t="s">
        <v>2474</v>
      </c>
      <c r="G457" s="24" t="s">
        <v>2475</v>
      </c>
      <c r="H457" s="24" t="s">
        <v>2466</v>
      </c>
      <c r="I457" s="24">
        <v>27</v>
      </c>
      <c r="J457" s="24">
        <v>0</v>
      </c>
      <c r="K457" s="24"/>
      <c r="L457" s="24" t="s">
        <v>2476</v>
      </c>
      <c r="M457" s="24" t="s">
        <v>2477</v>
      </c>
      <c r="N457" s="26" t="s">
        <v>30</v>
      </c>
      <c r="O457" s="26" t="s">
        <v>30</v>
      </c>
      <c r="P457" s="26" t="str">
        <f>IF(NOT("https://maps.app.goo.gl/xi3VCsRSXeZzB3a26" = ""), HYPERLINK("https://maps.app.goo.gl/xi3VCsRSXeZzB3a26", "موقع"), "")</f>
        <v>موقع</v>
      </c>
      <c r="Q457" s="24">
        <v>244000</v>
      </c>
      <c r="R457" s="26" t="str">
        <f t="shared" si="7"/>
        <v>تقديم طلب</v>
      </c>
      <c r="S457" s="32" t="s">
        <v>4429</v>
      </c>
    </row>
    <row r="458" spans="1:19" s="23" customFormat="1" ht="135" x14ac:dyDescent="0.3">
      <c r="A458" s="24" t="s">
        <v>2478</v>
      </c>
      <c r="B458" s="25" t="s">
        <v>296</v>
      </c>
      <c r="C458" s="24" t="s">
        <v>522</v>
      </c>
      <c r="D458" s="24" t="s">
        <v>2433</v>
      </c>
      <c r="E458" s="24" t="s">
        <v>2434</v>
      </c>
      <c r="F458" s="24" t="s">
        <v>2479</v>
      </c>
      <c r="G458" s="24" t="s">
        <v>2480</v>
      </c>
      <c r="H458" s="24" t="s">
        <v>2481</v>
      </c>
      <c r="I458" s="24">
        <v>702</v>
      </c>
      <c r="J458" s="24">
        <v>0</v>
      </c>
      <c r="K458" s="24"/>
      <c r="L458" s="24" t="s">
        <v>2482</v>
      </c>
      <c r="M458" s="24" t="s">
        <v>2483</v>
      </c>
      <c r="N458" s="26" t="s">
        <v>30</v>
      </c>
      <c r="O458" s="26" t="s">
        <v>30</v>
      </c>
      <c r="P458" s="26" t="str">
        <f>IF(NOT("https://maps.app.goo.gl/53XE135Wgb8fsd6x9" = ""), HYPERLINK("https://maps.app.goo.gl/53XE135Wgb8fsd6x9", "موقع"), "")</f>
        <v>موقع</v>
      </c>
      <c r="Q458" s="24">
        <v>52000</v>
      </c>
      <c r="R458" s="26" t="str">
        <f t="shared" si="7"/>
        <v>تقديم طلب</v>
      </c>
      <c r="S458" s="32" t="s">
        <v>4430</v>
      </c>
    </row>
    <row r="459" spans="1:19" s="23" customFormat="1" ht="240" x14ac:dyDescent="0.3">
      <c r="A459" s="24" t="s">
        <v>2491</v>
      </c>
      <c r="B459" s="25" t="s">
        <v>468</v>
      </c>
      <c r="C459" s="24" t="s">
        <v>469</v>
      </c>
      <c r="D459" s="24" t="s">
        <v>2485</v>
      </c>
      <c r="E459" s="24" t="s">
        <v>2486</v>
      </c>
      <c r="F459" s="24" t="s">
        <v>2492</v>
      </c>
      <c r="G459" s="24" t="s">
        <v>2493</v>
      </c>
      <c r="H459" s="24" t="s">
        <v>345</v>
      </c>
      <c r="I459" s="24">
        <v>91</v>
      </c>
      <c r="J459" s="24">
        <v>0</v>
      </c>
      <c r="K459" s="24"/>
      <c r="L459" s="24" t="s">
        <v>2494</v>
      </c>
      <c r="M459" s="24" t="s">
        <v>2495</v>
      </c>
      <c r="N459" s="26" t="s">
        <v>30</v>
      </c>
      <c r="O459" s="26" t="s">
        <v>30</v>
      </c>
      <c r="P459" s="26" t="str">
        <f>IF(NOT("https://maps.app.goo.gl/7bvp2wEWFm1ad4B98" = ""), HYPERLINK("https://maps.app.goo.gl/7bvp2wEWFm1ad4B98", "موقع"), "")</f>
        <v>موقع</v>
      </c>
      <c r="Q459" s="24">
        <v>2000</v>
      </c>
      <c r="R459" s="26" t="str">
        <f t="shared" si="7"/>
        <v>تقديم طلب</v>
      </c>
      <c r="S459" s="32" t="s">
        <v>4431</v>
      </c>
    </row>
    <row r="460" spans="1:19" x14ac:dyDescent="0.3">
      <c r="A460" s="21"/>
      <c r="B460" s="21"/>
      <c r="C460" s="6"/>
      <c r="D460" s="7"/>
      <c r="E460" s="7"/>
      <c r="F460" s="7"/>
      <c r="G460" s="7"/>
      <c r="H460" s="22"/>
      <c r="I460" s="6"/>
      <c r="J460" s="7"/>
      <c r="K460" s="22"/>
      <c r="L460" s="6"/>
      <c r="M460" s="7"/>
      <c r="N460" s="3"/>
      <c r="O460" s="4"/>
      <c r="P460" s="5"/>
      <c r="Q460" s="6"/>
      <c r="R460" s="5"/>
    </row>
  </sheetData>
  <sheetProtection algorithmName="SHA-512" hashValue="rDlcm8surpg8aDIe19iIq60tZqVbWSGsbTgDNWnIuCxcdwhMAVxLdRAd9YuaD711qlUr/QpwtC+QjxZL24qgGg==" saltValue="/pcLWUOr39CMrKfdVq1gUg==" spinCount="100000" sheet="1" objects="1" scenarios="1" formatCells="0" sort="0" autoFilter="0"/>
  <autoFilter ref="A3:Q459" xr:uid="{00000000-0001-0000-0000-000000000000}"/>
  <sortState xmlns:xlrd2="http://schemas.microsoft.com/office/spreadsheetml/2017/richdata2" ref="A3:R459">
    <sortCondition ref="D3:D459"/>
    <sortCondition ref="C3:C459"/>
    <sortCondition descending="1" ref="Q3:Q459"/>
  </sortState>
  <mergeCells count="4">
    <mergeCell ref="E1:I1"/>
    <mergeCell ref="E2:I2"/>
    <mergeCell ref="J1:L1"/>
    <mergeCell ref="J2:M2"/>
  </mergeCells>
  <conditionalFormatting sqref="A3:A1048576">
    <cfRule type="duplicateValues" dxfId="5" priority="4"/>
    <cfRule type="duplicateValues" dxfId="4" priority="5"/>
    <cfRule type="duplicateValues" dxfId="3" priority="7"/>
  </conditionalFormatting>
  <conditionalFormatting sqref="A3:A1048576">
    <cfRule type="duplicateValues" dxfId="2" priority="8"/>
  </conditionalFormatting>
  <conditionalFormatting sqref="A1:A2">
    <cfRule type="duplicateValues" dxfId="1" priority="2"/>
  </conditionalFormatting>
  <conditionalFormatting sqref="A1:A2">
    <cfRule type="duplicateValues" dxfId="0" priority="1"/>
  </conditionalFormatting>
  <hyperlinks>
    <hyperlink ref="J2" r:id="rId1" xr:uid="{0B49D339-4D30-4238-95A9-CE7709580AE5}"/>
    <hyperlink ref="S4" r:id="rId2" xr:uid="{970CAB03-D961-4DC5-9250-E84E8FC20013}"/>
  </hyperlinks>
  <printOptions horizontalCentered="1"/>
  <pageMargins left="0" right="0" top="0.25" bottom="0.25" header="0" footer="0"/>
  <pageSetup paperSize="9" scale="5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84"/>
  <sheetViews>
    <sheetView workbookViewId="0"/>
  </sheetViews>
  <sheetFormatPr defaultRowHeight="14.4" x14ac:dyDescent="0.3"/>
  <sheetData>
    <row r="1" spans="1:27" x14ac:dyDescent="0.3">
      <c r="A1" s="9" t="s">
        <v>2496</v>
      </c>
      <c r="B1" s="9"/>
      <c r="C1" s="9"/>
      <c r="D1" s="9"/>
      <c r="E1" s="9"/>
      <c r="F1" s="9"/>
      <c r="G1" s="9"/>
      <c r="H1" s="9"/>
      <c r="I1" s="9"/>
      <c r="J1" s="9"/>
      <c r="K1" s="9"/>
      <c r="L1" s="9"/>
      <c r="M1" s="9"/>
      <c r="N1" s="9"/>
      <c r="O1" s="9"/>
      <c r="P1" s="9"/>
      <c r="Q1" s="9"/>
      <c r="R1" s="9"/>
      <c r="S1" s="9"/>
      <c r="T1" s="9"/>
      <c r="U1" s="9"/>
      <c r="V1" s="9"/>
      <c r="W1" s="9"/>
      <c r="X1" s="9"/>
      <c r="Y1" s="9"/>
      <c r="Z1" s="9"/>
      <c r="AA1" s="9"/>
    </row>
    <row r="2" spans="1:27" x14ac:dyDescent="0.3">
      <c r="A2" t="s">
        <v>2497</v>
      </c>
      <c r="B2" t="s">
        <v>2498</v>
      </c>
      <c r="C2" t="s">
        <v>2499</v>
      </c>
      <c r="D2" t="s">
        <v>2500</v>
      </c>
      <c r="E2" t="s">
        <v>2501</v>
      </c>
      <c r="F2" t="s">
        <v>2502</v>
      </c>
      <c r="G2" t="s">
        <v>2503</v>
      </c>
      <c r="H2" t="s">
        <v>2504</v>
      </c>
      <c r="I2" t="s">
        <v>2505</v>
      </c>
      <c r="J2" t="s">
        <v>2506</v>
      </c>
      <c r="K2" t="s">
        <v>2507</v>
      </c>
      <c r="L2" t="s">
        <v>2508</v>
      </c>
      <c r="M2" t="s">
        <v>2509</v>
      </c>
      <c r="N2" t="s">
        <v>2510</v>
      </c>
      <c r="O2" t="s">
        <v>2511</v>
      </c>
      <c r="P2" t="s">
        <v>2512</v>
      </c>
      <c r="Q2" t="s">
        <v>2513</v>
      </c>
      <c r="R2" t="s">
        <v>2514</v>
      </c>
      <c r="S2" t="s">
        <v>2515</v>
      </c>
      <c r="T2" t="s">
        <v>2516</v>
      </c>
      <c r="U2" t="s">
        <v>2517</v>
      </c>
      <c r="V2" t="s">
        <v>2518</v>
      </c>
      <c r="W2" t="s">
        <v>2519</v>
      </c>
      <c r="X2" t="s">
        <v>2520</v>
      </c>
      <c r="Y2" t="s">
        <v>2521</v>
      </c>
      <c r="Z2" t="s">
        <v>2522</v>
      </c>
      <c r="AA2" t="s">
        <v>2523</v>
      </c>
    </row>
    <row r="3" spans="1:27" x14ac:dyDescent="0.3">
      <c r="A3" t="s">
        <v>20</v>
      </c>
      <c r="B3" s="8">
        <v>46282.623217592591</v>
      </c>
      <c r="C3" t="s">
        <v>2</v>
      </c>
      <c r="D3" t="s">
        <v>22</v>
      </c>
      <c r="E3" t="s">
        <v>27</v>
      </c>
      <c r="F3" t="s">
        <v>2524</v>
      </c>
      <c r="G3" t="s">
        <v>21</v>
      </c>
      <c r="H3" t="s">
        <v>23</v>
      </c>
      <c r="I3" t="s">
        <v>24</v>
      </c>
      <c r="J3" t="s">
        <v>25</v>
      </c>
      <c r="K3" t="s">
        <v>26</v>
      </c>
      <c r="L3">
        <v>-108</v>
      </c>
      <c r="M3">
        <v>1407</v>
      </c>
      <c r="N3">
        <v>8000</v>
      </c>
      <c r="Q3" t="s">
        <v>29</v>
      </c>
      <c r="S3" t="s">
        <v>2525</v>
      </c>
      <c r="V3" t="s">
        <v>28</v>
      </c>
      <c r="W3" t="s">
        <v>31</v>
      </c>
      <c r="Y3" t="s">
        <v>30</v>
      </c>
      <c r="Z3" t="s">
        <v>30</v>
      </c>
      <c r="AA3" t="s">
        <v>30</v>
      </c>
    </row>
    <row r="4" spans="1:27" x14ac:dyDescent="0.3">
      <c r="A4" t="s">
        <v>32</v>
      </c>
      <c r="B4" s="8">
        <v>46282.623217592591</v>
      </c>
      <c r="C4" t="s">
        <v>2</v>
      </c>
      <c r="D4" t="s">
        <v>22</v>
      </c>
      <c r="E4" t="s">
        <v>27</v>
      </c>
      <c r="F4" t="s">
        <v>2524</v>
      </c>
      <c r="G4" t="s">
        <v>21</v>
      </c>
      <c r="H4" t="s">
        <v>23</v>
      </c>
      <c r="I4" t="s">
        <v>24</v>
      </c>
      <c r="J4" t="s">
        <v>25</v>
      </c>
      <c r="K4" t="s">
        <v>26</v>
      </c>
      <c r="L4">
        <v>-109</v>
      </c>
      <c r="M4">
        <v>1407</v>
      </c>
      <c r="N4">
        <v>9000</v>
      </c>
      <c r="O4">
        <v>32.555971999999997</v>
      </c>
      <c r="P4">
        <v>35.854222</v>
      </c>
      <c r="Q4" t="s">
        <v>34</v>
      </c>
      <c r="S4" t="s">
        <v>2525</v>
      </c>
      <c r="U4" t="s">
        <v>2526</v>
      </c>
      <c r="V4" t="s">
        <v>33</v>
      </c>
      <c r="W4" t="s">
        <v>35</v>
      </c>
      <c r="Y4" t="s">
        <v>30</v>
      </c>
      <c r="Z4" t="s">
        <v>30</v>
      </c>
      <c r="AA4" t="str">
        <f>IF(NOT("https://maps.app.goo.gl/TiVucRGg5RVLEjAY7" = ""), HYPERLINK("https://maps.app.goo.gl/TiVucRGg5RVLEjAY7", "موقع"), "")</f>
        <v>موقع</v>
      </c>
    </row>
    <row r="5" spans="1:27" x14ac:dyDescent="0.3">
      <c r="A5" t="s">
        <v>36</v>
      </c>
      <c r="B5" s="8">
        <v>46282.623217592591</v>
      </c>
      <c r="C5" t="s">
        <v>2</v>
      </c>
      <c r="D5" t="s">
        <v>22</v>
      </c>
      <c r="E5" t="s">
        <v>27</v>
      </c>
      <c r="F5" t="s">
        <v>2527</v>
      </c>
      <c r="G5" t="s">
        <v>21</v>
      </c>
      <c r="H5" t="s">
        <v>23</v>
      </c>
      <c r="I5" t="s">
        <v>24</v>
      </c>
      <c r="J5" t="s">
        <v>25</v>
      </c>
      <c r="K5" t="s">
        <v>26</v>
      </c>
      <c r="L5">
        <v>-105</v>
      </c>
      <c r="M5">
        <v>1407</v>
      </c>
      <c r="N5">
        <v>9000</v>
      </c>
      <c r="O5">
        <v>32.555971999999997</v>
      </c>
      <c r="P5">
        <v>35.854222</v>
      </c>
      <c r="Q5" t="s">
        <v>34</v>
      </c>
      <c r="S5" t="s">
        <v>2525</v>
      </c>
      <c r="U5" t="s">
        <v>2528</v>
      </c>
      <c r="V5" t="s">
        <v>33</v>
      </c>
      <c r="W5" t="s">
        <v>35</v>
      </c>
      <c r="Y5" t="s">
        <v>30</v>
      </c>
      <c r="Z5" t="s">
        <v>30</v>
      </c>
      <c r="AA5" t="str">
        <f>IF(NOT("https://maps.app.goo.gl/8szHmw75q7cGjeJ57" = ""), HYPERLINK("https://maps.app.goo.gl/8szHmw75q7cGjeJ57", "موقع"), "")</f>
        <v>موقع</v>
      </c>
    </row>
    <row r="6" spans="1:27" x14ac:dyDescent="0.3">
      <c r="A6" t="s">
        <v>37</v>
      </c>
      <c r="B6" s="8">
        <v>46282.623217592591</v>
      </c>
      <c r="C6" t="s">
        <v>2</v>
      </c>
      <c r="D6" t="s">
        <v>22</v>
      </c>
      <c r="E6" t="s">
        <v>27</v>
      </c>
      <c r="F6" t="s">
        <v>2529</v>
      </c>
      <c r="G6" t="s">
        <v>21</v>
      </c>
      <c r="H6" t="s">
        <v>23</v>
      </c>
      <c r="I6" t="s">
        <v>24</v>
      </c>
      <c r="J6" t="s">
        <v>25</v>
      </c>
      <c r="K6" t="s">
        <v>26</v>
      </c>
      <c r="L6">
        <v>-104</v>
      </c>
      <c r="M6">
        <v>1407</v>
      </c>
      <c r="N6">
        <v>9000</v>
      </c>
      <c r="O6">
        <v>32.555971999999997</v>
      </c>
      <c r="P6">
        <v>35.854222</v>
      </c>
      <c r="Q6" t="s">
        <v>34</v>
      </c>
      <c r="S6" t="s">
        <v>2525</v>
      </c>
      <c r="U6" t="s">
        <v>2530</v>
      </c>
      <c r="V6" t="s">
        <v>33</v>
      </c>
      <c r="W6" t="s">
        <v>35</v>
      </c>
      <c r="Y6" t="s">
        <v>30</v>
      </c>
      <c r="Z6" t="s">
        <v>30</v>
      </c>
      <c r="AA6" t="str">
        <f>IF(NOT("https://maps.app.goo.gl/utZa7pbDNC5BNjBR8" = ""), HYPERLINK("https://maps.app.goo.gl/utZa7pbDNC5BNjBR8", "موقع"), "")</f>
        <v>موقع</v>
      </c>
    </row>
    <row r="7" spans="1:27" x14ac:dyDescent="0.3">
      <c r="A7" t="s">
        <v>38</v>
      </c>
      <c r="B7" s="8">
        <v>46282.623217592591</v>
      </c>
      <c r="C7" t="s">
        <v>2</v>
      </c>
      <c r="D7" t="s">
        <v>22</v>
      </c>
      <c r="E7" t="s">
        <v>27</v>
      </c>
      <c r="F7" t="s">
        <v>2531</v>
      </c>
      <c r="G7" t="s">
        <v>21</v>
      </c>
      <c r="H7" t="s">
        <v>23</v>
      </c>
      <c r="I7" t="s">
        <v>24</v>
      </c>
      <c r="J7" t="s">
        <v>25</v>
      </c>
      <c r="K7" t="s">
        <v>26</v>
      </c>
      <c r="L7">
        <v>-103</v>
      </c>
      <c r="M7">
        <v>1407</v>
      </c>
      <c r="N7">
        <v>9000</v>
      </c>
      <c r="O7">
        <v>32.555971999999997</v>
      </c>
      <c r="P7">
        <v>35.854222</v>
      </c>
      <c r="Q7" t="s">
        <v>34</v>
      </c>
      <c r="S7" t="s">
        <v>2525</v>
      </c>
      <c r="U7" t="s">
        <v>2532</v>
      </c>
      <c r="V7" t="s">
        <v>33</v>
      </c>
      <c r="W7" t="s">
        <v>35</v>
      </c>
      <c r="Y7" t="s">
        <v>30</v>
      </c>
      <c r="Z7" t="s">
        <v>30</v>
      </c>
      <c r="AA7" t="str">
        <f>IF(NOT("https://maps.app.goo.gl/RYd23MtaG2mUYFnd7" = ""), HYPERLINK("https://maps.app.goo.gl/RYd23MtaG2mUYFnd7", "موقع"), "")</f>
        <v>موقع</v>
      </c>
    </row>
    <row r="8" spans="1:27" x14ac:dyDescent="0.3">
      <c r="A8" t="s">
        <v>39</v>
      </c>
      <c r="B8" s="8">
        <v>46282.623217592591</v>
      </c>
      <c r="C8" t="s">
        <v>2</v>
      </c>
      <c r="D8" t="s">
        <v>22</v>
      </c>
      <c r="E8" t="s">
        <v>27</v>
      </c>
      <c r="F8" t="s">
        <v>2533</v>
      </c>
      <c r="G8" t="s">
        <v>21</v>
      </c>
      <c r="H8" t="s">
        <v>23</v>
      </c>
      <c r="I8" t="s">
        <v>24</v>
      </c>
      <c r="J8" t="s">
        <v>25</v>
      </c>
      <c r="K8" t="s">
        <v>26</v>
      </c>
      <c r="L8">
        <v>-106</v>
      </c>
      <c r="M8">
        <v>1407</v>
      </c>
      <c r="N8">
        <v>9000</v>
      </c>
      <c r="O8">
        <v>32.555971999999997</v>
      </c>
      <c r="P8">
        <v>35.854222</v>
      </c>
      <c r="Q8" t="s">
        <v>40</v>
      </c>
      <c r="S8" t="s">
        <v>2525</v>
      </c>
      <c r="U8" t="s">
        <v>2534</v>
      </c>
      <c r="V8" t="s">
        <v>33</v>
      </c>
      <c r="W8" t="s">
        <v>41</v>
      </c>
      <c r="Y8" t="s">
        <v>30</v>
      </c>
      <c r="Z8" t="s">
        <v>30</v>
      </c>
      <c r="AA8" t="str">
        <f>IF(NOT("https://maps.app.goo.gl/krbj2GhMvuWbUamp8" = ""), HYPERLINK("https://maps.app.goo.gl/krbj2GhMvuWbUamp8", "موقع"), "")</f>
        <v>موقع</v>
      </c>
    </row>
    <row r="9" spans="1:27" x14ac:dyDescent="0.3">
      <c r="A9" t="s">
        <v>42</v>
      </c>
      <c r="B9" s="8">
        <v>46282.623217592591</v>
      </c>
      <c r="C9" t="s">
        <v>2</v>
      </c>
      <c r="D9" t="s">
        <v>22</v>
      </c>
      <c r="E9" t="s">
        <v>27</v>
      </c>
      <c r="F9" t="s">
        <v>2535</v>
      </c>
      <c r="G9" t="s">
        <v>21</v>
      </c>
      <c r="H9" t="s">
        <v>23</v>
      </c>
      <c r="I9" t="s">
        <v>24</v>
      </c>
      <c r="J9" t="s">
        <v>25</v>
      </c>
      <c r="K9" t="s">
        <v>26</v>
      </c>
      <c r="L9">
        <v>106</v>
      </c>
      <c r="M9">
        <v>1407</v>
      </c>
      <c r="N9">
        <v>9000</v>
      </c>
      <c r="O9">
        <v>32.555971999999997</v>
      </c>
      <c r="P9">
        <v>35.854222</v>
      </c>
      <c r="Q9" t="s">
        <v>44</v>
      </c>
      <c r="S9" t="s">
        <v>2525</v>
      </c>
      <c r="U9" t="s">
        <v>2536</v>
      </c>
      <c r="V9" t="s">
        <v>43</v>
      </c>
      <c r="W9" t="s">
        <v>45</v>
      </c>
      <c r="Y9" t="s">
        <v>30</v>
      </c>
      <c r="Z9" t="s">
        <v>30</v>
      </c>
      <c r="AA9" t="str">
        <f>IF(NOT("https://maps.app.goo.gl/6VeK1soQc9FANyGr5" = ""), HYPERLINK("https://maps.app.goo.gl/6VeK1soQc9FANyGr5", "موقع"), "")</f>
        <v>موقع</v>
      </c>
    </row>
    <row r="10" spans="1:27" x14ac:dyDescent="0.3">
      <c r="A10" t="s">
        <v>46</v>
      </c>
      <c r="B10" s="8">
        <v>46282.623217592591</v>
      </c>
      <c r="C10" t="s">
        <v>2</v>
      </c>
      <c r="D10" t="s">
        <v>22</v>
      </c>
      <c r="E10" t="s">
        <v>27</v>
      </c>
      <c r="F10" t="s">
        <v>2537</v>
      </c>
      <c r="G10" t="s">
        <v>21</v>
      </c>
      <c r="H10" t="s">
        <v>23</v>
      </c>
      <c r="I10" t="s">
        <v>24</v>
      </c>
      <c r="J10" t="s">
        <v>25</v>
      </c>
      <c r="K10" t="s">
        <v>26</v>
      </c>
      <c r="L10">
        <v>107</v>
      </c>
      <c r="M10">
        <v>1407</v>
      </c>
      <c r="N10">
        <v>20000</v>
      </c>
      <c r="O10">
        <v>32.555971999999997</v>
      </c>
      <c r="P10">
        <v>35.854222</v>
      </c>
      <c r="Q10" t="s">
        <v>47</v>
      </c>
      <c r="S10" t="s">
        <v>2525</v>
      </c>
      <c r="U10" t="s">
        <v>2538</v>
      </c>
      <c r="V10" t="s">
        <v>28</v>
      </c>
      <c r="W10" t="s">
        <v>48</v>
      </c>
      <c r="Y10" t="s">
        <v>30</v>
      </c>
      <c r="Z10" t="s">
        <v>30</v>
      </c>
      <c r="AA10" t="str">
        <f>IF(NOT("https://maps.app.goo.gl/pifTYeCxr41ZPNEo6" = ""), HYPERLINK("https://maps.app.goo.gl/pifTYeCxr41ZPNEo6", "موقع"), "")</f>
        <v>موقع</v>
      </c>
    </row>
    <row r="11" spans="1:27" x14ac:dyDescent="0.3">
      <c r="A11" t="s">
        <v>49</v>
      </c>
      <c r="B11" s="8">
        <v>46282.623217592591</v>
      </c>
      <c r="C11" t="s">
        <v>2</v>
      </c>
      <c r="D11" t="s">
        <v>50</v>
      </c>
      <c r="E11" t="s">
        <v>54</v>
      </c>
      <c r="F11" t="s">
        <v>2539</v>
      </c>
      <c r="G11" t="s">
        <v>21</v>
      </c>
      <c r="H11" t="s">
        <v>23</v>
      </c>
      <c r="I11" t="s">
        <v>51</v>
      </c>
      <c r="J11" t="s">
        <v>52</v>
      </c>
      <c r="K11" t="s">
        <v>53</v>
      </c>
      <c r="L11">
        <v>131</v>
      </c>
      <c r="M11">
        <v>84</v>
      </c>
      <c r="N11">
        <v>8000</v>
      </c>
      <c r="O11">
        <v>32.497889000000001</v>
      </c>
      <c r="P11">
        <v>35.683500000000002</v>
      </c>
      <c r="Q11" t="s">
        <v>56</v>
      </c>
      <c r="S11" t="s">
        <v>2525</v>
      </c>
      <c r="U11" t="s">
        <v>2540</v>
      </c>
      <c r="V11" t="s">
        <v>55</v>
      </c>
      <c r="W11" t="s">
        <v>57</v>
      </c>
      <c r="Y11" t="s">
        <v>30</v>
      </c>
      <c r="Z11" t="s">
        <v>30</v>
      </c>
      <c r="AA11" t="str">
        <f>IF(NOT("https://maps.app.goo.gl/A3XZbfh84v35bWus8" = ""), HYPERLINK("https://maps.app.goo.gl/A3XZbfh84v35bWus8", "موقع"), "")</f>
        <v>موقع</v>
      </c>
    </row>
    <row r="12" spans="1:27" x14ac:dyDescent="0.3">
      <c r="A12" t="s">
        <v>58</v>
      </c>
      <c r="B12" s="8">
        <v>46282.623217592591</v>
      </c>
      <c r="C12" t="s">
        <v>2</v>
      </c>
      <c r="D12" t="s">
        <v>59</v>
      </c>
      <c r="E12" t="s">
        <v>62</v>
      </c>
      <c r="F12" t="s">
        <v>2541</v>
      </c>
      <c r="G12" t="s">
        <v>21</v>
      </c>
      <c r="H12" t="s">
        <v>23</v>
      </c>
      <c r="I12" t="s">
        <v>24</v>
      </c>
      <c r="J12" t="s">
        <v>60</v>
      </c>
      <c r="K12" t="s">
        <v>61</v>
      </c>
      <c r="L12">
        <v>-102</v>
      </c>
      <c r="M12">
        <v>1842</v>
      </c>
      <c r="N12">
        <v>10000</v>
      </c>
      <c r="O12">
        <v>32.569056000000003</v>
      </c>
      <c r="P12">
        <v>35.845917</v>
      </c>
      <c r="Q12" t="s">
        <v>63</v>
      </c>
      <c r="S12" t="s">
        <v>2525</v>
      </c>
      <c r="U12" t="s">
        <v>2542</v>
      </c>
      <c r="V12" t="s">
        <v>33</v>
      </c>
      <c r="W12" t="s">
        <v>64</v>
      </c>
      <c r="Y12" t="s">
        <v>30</v>
      </c>
      <c r="Z12" t="s">
        <v>30</v>
      </c>
      <c r="AA12" t="str">
        <f>IF(NOT("https://maps.app.goo.gl/9pCAjbaA9ZKNeSdX7" = ""), HYPERLINK("https://maps.app.goo.gl/9pCAjbaA9ZKNeSdX7", "موقع"), "")</f>
        <v>موقع</v>
      </c>
    </row>
    <row r="13" spans="1:27" x14ac:dyDescent="0.3">
      <c r="A13" t="s">
        <v>65</v>
      </c>
      <c r="B13" s="8">
        <v>46282.623217592591</v>
      </c>
      <c r="C13" t="s">
        <v>2</v>
      </c>
      <c r="D13" t="s">
        <v>59</v>
      </c>
      <c r="E13" t="s">
        <v>62</v>
      </c>
      <c r="F13" t="s">
        <v>2543</v>
      </c>
      <c r="G13" t="s">
        <v>21</v>
      </c>
      <c r="H13" t="s">
        <v>23</v>
      </c>
      <c r="I13" t="s">
        <v>24</v>
      </c>
      <c r="J13" t="s">
        <v>60</v>
      </c>
      <c r="K13" t="s">
        <v>66</v>
      </c>
      <c r="L13">
        <v>-101</v>
      </c>
      <c r="M13">
        <v>2390</v>
      </c>
      <c r="N13">
        <v>11000</v>
      </c>
      <c r="O13">
        <v>32.556860999999998</v>
      </c>
      <c r="P13">
        <v>35.825888999999997</v>
      </c>
      <c r="Q13" t="s">
        <v>67</v>
      </c>
      <c r="S13" t="s">
        <v>2525</v>
      </c>
      <c r="U13" t="s">
        <v>2544</v>
      </c>
      <c r="V13" t="s">
        <v>33</v>
      </c>
      <c r="W13" t="s">
        <v>68</v>
      </c>
      <c r="Y13" t="s">
        <v>30</v>
      </c>
      <c r="Z13" t="s">
        <v>30</v>
      </c>
      <c r="AA13" t="str">
        <f>IF(NOT("https://maps.app.goo.gl/kNwMxKFC2vofNDEx9" = ""), HYPERLINK("https://maps.app.goo.gl/kNwMxKFC2vofNDEx9", "موقع"), "")</f>
        <v>موقع</v>
      </c>
    </row>
    <row r="14" spans="1:27" x14ac:dyDescent="0.3">
      <c r="A14" t="s">
        <v>69</v>
      </c>
      <c r="B14" s="8">
        <v>46282.623217592591</v>
      </c>
      <c r="C14" t="s">
        <v>2</v>
      </c>
      <c r="D14" t="s">
        <v>59</v>
      </c>
      <c r="E14" t="s">
        <v>72</v>
      </c>
      <c r="F14" t="s">
        <v>2545</v>
      </c>
      <c r="G14" t="s">
        <v>21</v>
      </c>
      <c r="H14" t="s">
        <v>23</v>
      </c>
      <c r="I14" t="s">
        <v>24</v>
      </c>
      <c r="J14" t="s">
        <v>70</v>
      </c>
      <c r="K14" t="s">
        <v>71</v>
      </c>
      <c r="L14">
        <v>122</v>
      </c>
      <c r="M14">
        <v>682</v>
      </c>
      <c r="N14">
        <v>11000</v>
      </c>
      <c r="Q14" t="s">
        <v>74</v>
      </c>
      <c r="S14" t="s">
        <v>2525</v>
      </c>
      <c r="V14" t="s">
        <v>73</v>
      </c>
      <c r="W14" t="s">
        <v>75</v>
      </c>
      <c r="Y14" t="s">
        <v>30</v>
      </c>
      <c r="Z14" t="s">
        <v>30</v>
      </c>
      <c r="AA14" t="s">
        <v>30</v>
      </c>
    </row>
    <row r="15" spans="1:27" x14ac:dyDescent="0.3">
      <c r="A15" t="s">
        <v>76</v>
      </c>
      <c r="B15" s="8">
        <v>46282.623217592591</v>
      </c>
      <c r="C15" t="s">
        <v>2</v>
      </c>
      <c r="D15" t="s">
        <v>59</v>
      </c>
      <c r="E15" t="s">
        <v>80</v>
      </c>
      <c r="F15" t="s">
        <v>2546</v>
      </c>
      <c r="G15" t="s">
        <v>21</v>
      </c>
      <c r="H15" t="s">
        <v>23</v>
      </c>
      <c r="I15" t="s">
        <v>77</v>
      </c>
      <c r="J15" t="s">
        <v>78</v>
      </c>
      <c r="K15" t="s">
        <v>79</v>
      </c>
      <c r="L15">
        <v>111</v>
      </c>
      <c r="M15">
        <v>33</v>
      </c>
      <c r="N15">
        <v>12000</v>
      </c>
      <c r="Q15" t="s">
        <v>81</v>
      </c>
      <c r="S15" t="s">
        <v>2525</v>
      </c>
      <c r="V15" t="s">
        <v>43</v>
      </c>
      <c r="W15" t="s">
        <v>82</v>
      </c>
      <c r="Y15" t="s">
        <v>30</v>
      </c>
      <c r="Z15" t="s">
        <v>30</v>
      </c>
      <c r="AA15" t="s">
        <v>30</v>
      </c>
    </row>
    <row r="16" spans="1:27" x14ac:dyDescent="0.3">
      <c r="A16" t="s">
        <v>83</v>
      </c>
      <c r="B16" s="8">
        <v>46282.623217592591</v>
      </c>
      <c r="C16" t="s">
        <v>2</v>
      </c>
      <c r="D16" t="s">
        <v>59</v>
      </c>
      <c r="E16" t="s">
        <v>72</v>
      </c>
      <c r="F16" t="s">
        <v>2547</v>
      </c>
      <c r="G16" t="s">
        <v>21</v>
      </c>
      <c r="H16" t="s">
        <v>23</v>
      </c>
      <c r="I16" t="s">
        <v>24</v>
      </c>
      <c r="J16" t="s">
        <v>70</v>
      </c>
      <c r="K16" t="s">
        <v>84</v>
      </c>
      <c r="L16">
        <v>122</v>
      </c>
      <c r="M16">
        <v>136</v>
      </c>
      <c r="N16">
        <v>14000</v>
      </c>
      <c r="Q16" t="s">
        <v>85</v>
      </c>
      <c r="S16" t="s">
        <v>2525</v>
      </c>
      <c r="V16" t="s">
        <v>73</v>
      </c>
      <c r="W16" t="s">
        <v>86</v>
      </c>
      <c r="Y16" t="s">
        <v>30</v>
      </c>
      <c r="Z16" t="s">
        <v>30</v>
      </c>
      <c r="AA16" t="s">
        <v>30</v>
      </c>
    </row>
    <row r="17" spans="1:27" x14ac:dyDescent="0.3">
      <c r="A17" t="s">
        <v>87</v>
      </c>
      <c r="B17" s="8">
        <v>46282.623217592591</v>
      </c>
      <c r="C17" t="s">
        <v>2</v>
      </c>
      <c r="D17" t="s">
        <v>59</v>
      </c>
      <c r="E17" t="s">
        <v>91</v>
      </c>
      <c r="F17" t="s">
        <v>2548</v>
      </c>
      <c r="G17" t="s">
        <v>21</v>
      </c>
      <c r="H17" t="s">
        <v>23</v>
      </c>
      <c r="I17" t="s">
        <v>88</v>
      </c>
      <c r="J17" t="s">
        <v>89</v>
      </c>
      <c r="K17" t="s">
        <v>90</v>
      </c>
      <c r="L17">
        <v>-102</v>
      </c>
      <c r="M17">
        <v>782</v>
      </c>
      <c r="N17">
        <v>14000</v>
      </c>
      <c r="O17">
        <v>32.442861000000001</v>
      </c>
      <c r="P17">
        <v>35.595610999999998</v>
      </c>
      <c r="Q17" t="s">
        <v>92</v>
      </c>
      <c r="S17" t="s">
        <v>2525</v>
      </c>
      <c r="U17" t="s">
        <v>2549</v>
      </c>
      <c r="V17" t="s">
        <v>33</v>
      </c>
      <c r="W17" t="s">
        <v>93</v>
      </c>
      <c r="Y17" t="s">
        <v>30</v>
      </c>
      <c r="Z17" t="s">
        <v>30</v>
      </c>
      <c r="AA17" t="str">
        <f>IF(NOT("https://maps.app.goo.gl/4ZeUixs6SEXRqnyr8" = ""), HYPERLINK("https://maps.app.goo.gl/4ZeUixs6SEXRqnyr8", "موقع"), "")</f>
        <v>موقع</v>
      </c>
    </row>
    <row r="18" spans="1:27" x14ac:dyDescent="0.3">
      <c r="A18" t="s">
        <v>94</v>
      </c>
      <c r="B18" s="8">
        <v>46282.623217592591</v>
      </c>
      <c r="C18" t="s">
        <v>2</v>
      </c>
      <c r="D18" t="s">
        <v>59</v>
      </c>
      <c r="E18" t="s">
        <v>97</v>
      </c>
      <c r="F18" t="s">
        <v>2550</v>
      </c>
      <c r="G18" t="s">
        <v>21</v>
      </c>
      <c r="H18" t="s">
        <v>23</v>
      </c>
      <c r="I18" t="s">
        <v>24</v>
      </c>
      <c r="J18" t="s">
        <v>95</v>
      </c>
      <c r="K18" t="s">
        <v>96</v>
      </c>
      <c r="L18">
        <v>101</v>
      </c>
      <c r="M18">
        <v>194</v>
      </c>
      <c r="N18">
        <v>16000</v>
      </c>
      <c r="O18">
        <v>32.569389000000001</v>
      </c>
      <c r="P18">
        <v>35.805278000000001</v>
      </c>
      <c r="Q18" t="s">
        <v>98</v>
      </c>
      <c r="S18" t="s">
        <v>2525</v>
      </c>
      <c r="U18" t="s">
        <v>2551</v>
      </c>
      <c r="V18" t="s">
        <v>43</v>
      </c>
      <c r="W18" t="s">
        <v>99</v>
      </c>
      <c r="Y18" t="s">
        <v>30</v>
      </c>
      <c r="Z18" t="s">
        <v>30</v>
      </c>
      <c r="AA18" t="str">
        <f>IF(NOT("https://maps.app.goo.gl/sUZZ3HjBRZcis2or5" = ""), HYPERLINK("https://maps.app.goo.gl/sUZZ3HjBRZcis2or5", "موقع"), "")</f>
        <v>موقع</v>
      </c>
    </row>
    <row r="19" spans="1:27" x14ac:dyDescent="0.3">
      <c r="A19" t="s">
        <v>100</v>
      </c>
      <c r="B19" s="8">
        <v>46282.623217592591</v>
      </c>
      <c r="C19" t="s">
        <v>2</v>
      </c>
      <c r="D19" t="s">
        <v>59</v>
      </c>
      <c r="E19" t="s">
        <v>102</v>
      </c>
      <c r="F19" t="s">
        <v>2552</v>
      </c>
      <c r="G19" t="s">
        <v>21</v>
      </c>
      <c r="H19" t="s">
        <v>23</v>
      </c>
      <c r="I19" t="s">
        <v>24</v>
      </c>
      <c r="J19" t="s">
        <v>25</v>
      </c>
      <c r="K19" t="s">
        <v>101</v>
      </c>
      <c r="L19">
        <v>111</v>
      </c>
      <c r="M19">
        <v>131</v>
      </c>
      <c r="N19">
        <v>16000</v>
      </c>
      <c r="O19">
        <v>32.552999999999997</v>
      </c>
      <c r="P19">
        <v>35.831139</v>
      </c>
      <c r="Q19" t="s">
        <v>103</v>
      </c>
      <c r="S19" t="s">
        <v>2525</v>
      </c>
      <c r="U19" t="s">
        <v>2553</v>
      </c>
      <c r="V19" t="s">
        <v>43</v>
      </c>
      <c r="W19" t="s">
        <v>104</v>
      </c>
      <c r="Y19" t="s">
        <v>30</v>
      </c>
      <c r="Z19" t="s">
        <v>30</v>
      </c>
      <c r="AA19" t="str">
        <f>IF(NOT("https://maps.app.goo.gl/7sqfSsirCnZF91UG9" = ""), HYPERLINK("https://maps.app.goo.gl/7sqfSsirCnZF91UG9", "موقع"), "")</f>
        <v>موقع</v>
      </c>
    </row>
    <row r="20" spans="1:27" x14ac:dyDescent="0.3">
      <c r="A20" t="s">
        <v>105</v>
      </c>
      <c r="B20" s="8">
        <v>46282.623217592591</v>
      </c>
      <c r="C20" t="s">
        <v>2</v>
      </c>
      <c r="D20" t="s">
        <v>59</v>
      </c>
      <c r="E20" t="s">
        <v>108</v>
      </c>
      <c r="F20" t="s">
        <v>2554</v>
      </c>
      <c r="G20" t="s">
        <v>21</v>
      </c>
      <c r="H20" t="s">
        <v>23</v>
      </c>
      <c r="I20" t="s">
        <v>77</v>
      </c>
      <c r="J20" t="s">
        <v>106</v>
      </c>
      <c r="K20" t="s">
        <v>107</v>
      </c>
      <c r="L20">
        <v>111</v>
      </c>
      <c r="M20">
        <v>706</v>
      </c>
      <c r="N20">
        <v>16000</v>
      </c>
      <c r="O20">
        <v>32.579805999999998</v>
      </c>
      <c r="P20">
        <v>35.651888999999997</v>
      </c>
      <c r="Q20" t="s">
        <v>109</v>
      </c>
      <c r="S20" t="s">
        <v>2525</v>
      </c>
      <c r="U20" t="s">
        <v>2555</v>
      </c>
      <c r="V20" t="s">
        <v>43</v>
      </c>
      <c r="W20" t="s">
        <v>110</v>
      </c>
      <c r="Y20" t="s">
        <v>30</v>
      </c>
      <c r="Z20" t="s">
        <v>30</v>
      </c>
      <c r="AA20" t="str">
        <f>IF(NOT("https://maps.app.goo.gl/mCqyP1zsBZKWR2FD9" = ""), HYPERLINK("https://maps.app.goo.gl/mCqyP1zsBZKWR2FD9", "موقع"), "")</f>
        <v>موقع</v>
      </c>
    </row>
    <row r="21" spans="1:27" x14ac:dyDescent="0.3">
      <c r="A21" t="s">
        <v>111</v>
      </c>
      <c r="B21" s="8">
        <v>46282.623217592591</v>
      </c>
      <c r="C21" t="s">
        <v>2</v>
      </c>
      <c r="D21" t="s">
        <v>59</v>
      </c>
      <c r="E21" t="s">
        <v>114</v>
      </c>
      <c r="F21" t="s">
        <v>2556</v>
      </c>
      <c r="G21" t="s">
        <v>21</v>
      </c>
      <c r="H21" t="s">
        <v>23</v>
      </c>
      <c r="I21" t="s">
        <v>24</v>
      </c>
      <c r="J21" t="s">
        <v>112</v>
      </c>
      <c r="K21" t="s">
        <v>113</v>
      </c>
      <c r="L21">
        <v>121</v>
      </c>
      <c r="M21">
        <v>1061</v>
      </c>
      <c r="N21">
        <v>17000</v>
      </c>
      <c r="O21">
        <v>32.514972</v>
      </c>
      <c r="P21">
        <v>35.856250000000003</v>
      </c>
      <c r="Q21" t="s">
        <v>115</v>
      </c>
      <c r="S21" t="s">
        <v>2525</v>
      </c>
      <c r="U21" t="s">
        <v>2557</v>
      </c>
      <c r="V21" t="s">
        <v>73</v>
      </c>
      <c r="W21" t="s">
        <v>116</v>
      </c>
      <c r="Y21" t="s">
        <v>30</v>
      </c>
      <c r="Z21" t="s">
        <v>30</v>
      </c>
      <c r="AA21" t="str">
        <f>IF(NOT("https://maps.app.goo.gl/fZNY8kEBaL8shcWo6" = ""), HYPERLINK("https://maps.app.goo.gl/fZNY8kEBaL8shcWo6", "موقع"), "")</f>
        <v>موقع</v>
      </c>
    </row>
    <row r="22" spans="1:27" x14ac:dyDescent="0.3">
      <c r="A22" t="s">
        <v>117</v>
      </c>
      <c r="B22" s="8">
        <v>46282.623217592591</v>
      </c>
      <c r="C22" t="s">
        <v>2</v>
      </c>
      <c r="D22" t="s">
        <v>59</v>
      </c>
      <c r="E22" t="s">
        <v>120</v>
      </c>
      <c r="F22" t="s">
        <v>2558</v>
      </c>
      <c r="G22" t="s">
        <v>21</v>
      </c>
      <c r="H22" t="s">
        <v>23</v>
      </c>
      <c r="I22" t="s">
        <v>24</v>
      </c>
      <c r="J22" t="s">
        <v>118</v>
      </c>
      <c r="K22" t="s">
        <v>119</v>
      </c>
      <c r="L22">
        <v>103</v>
      </c>
      <c r="M22">
        <v>708</v>
      </c>
      <c r="N22">
        <v>17000</v>
      </c>
      <c r="O22">
        <v>32.570889000000001</v>
      </c>
      <c r="P22">
        <v>35.732778000000003</v>
      </c>
      <c r="Q22" t="s">
        <v>121</v>
      </c>
      <c r="S22" t="s">
        <v>2525</v>
      </c>
      <c r="U22" t="s">
        <v>2559</v>
      </c>
      <c r="V22" t="s">
        <v>28</v>
      </c>
      <c r="W22" t="s">
        <v>122</v>
      </c>
      <c r="Y22" t="s">
        <v>30</v>
      </c>
      <c r="Z22" t="s">
        <v>30</v>
      </c>
      <c r="AA22" t="str">
        <f>IF(NOT("https://maps.app.goo.gl/5WPQMJjorRyZDxdY6" = ""), HYPERLINK("https://maps.app.goo.gl/5WPQMJjorRyZDxdY6", "موقع"), "")</f>
        <v>موقع</v>
      </c>
    </row>
    <row r="23" spans="1:27" x14ac:dyDescent="0.3">
      <c r="A23" t="s">
        <v>123</v>
      </c>
      <c r="B23" s="8">
        <v>46282.623217592591</v>
      </c>
      <c r="C23" t="s">
        <v>2</v>
      </c>
      <c r="D23" t="s">
        <v>59</v>
      </c>
      <c r="E23" t="s">
        <v>127</v>
      </c>
      <c r="F23" t="s">
        <v>2560</v>
      </c>
      <c r="G23" t="s">
        <v>21</v>
      </c>
      <c r="H23" t="s">
        <v>23</v>
      </c>
      <c r="I23" t="s">
        <v>124</v>
      </c>
      <c r="J23" t="s">
        <v>125</v>
      </c>
      <c r="K23" t="s">
        <v>126</v>
      </c>
      <c r="L23">
        <v>111</v>
      </c>
      <c r="M23">
        <v>39</v>
      </c>
      <c r="N23">
        <v>17000</v>
      </c>
      <c r="O23">
        <v>32.683360999999998</v>
      </c>
      <c r="P23">
        <v>35.800027999999998</v>
      </c>
      <c r="Q23" t="s">
        <v>128</v>
      </c>
      <c r="S23" t="s">
        <v>2525</v>
      </c>
      <c r="U23" t="s">
        <v>2561</v>
      </c>
      <c r="V23" t="s">
        <v>43</v>
      </c>
      <c r="W23" t="s">
        <v>129</v>
      </c>
      <c r="Y23" t="s">
        <v>30</v>
      </c>
      <c r="Z23" t="s">
        <v>30</v>
      </c>
      <c r="AA23" t="str">
        <f>IF(NOT("https://maps.app.goo.gl/Ynh1ckaYSg13YR5B6" = ""), HYPERLINK("https://maps.app.goo.gl/Ynh1ckaYSg13YR5B6", "موقع"), "")</f>
        <v>موقع</v>
      </c>
    </row>
    <row r="24" spans="1:27" x14ac:dyDescent="0.3">
      <c r="A24" t="s">
        <v>130</v>
      </c>
      <c r="B24" s="8">
        <v>46282.623217592591</v>
      </c>
      <c r="C24" t="s">
        <v>2</v>
      </c>
      <c r="D24" t="s">
        <v>59</v>
      </c>
      <c r="E24" t="s">
        <v>72</v>
      </c>
      <c r="F24" t="s">
        <v>2562</v>
      </c>
      <c r="G24" t="s">
        <v>21</v>
      </c>
      <c r="H24" t="s">
        <v>23</v>
      </c>
      <c r="I24" t="s">
        <v>24</v>
      </c>
      <c r="J24" t="s">
        <v>70</v>
      </c>
      <c r="K24" t="s">
        <v>84</v>
      </c>
      <c r="L24">
        <v>111</v>
      </c>
      <c r="M24">
        <v>136</v>
      </c>
      <c r="N24">
        <v>17000</v>
      </c>
      <c r="Q24" t="s">
        <v>131</v>
      </c>
      <c r="S24" t="s">
        <v>2525</v>
      </c>
      <c r="V24" t="s">
        <v>43</v>
      </c>
      <c r="W24" t="s">
        <v>132</v>
      </c>
      <c r="Y24" t="s">
        <v>30</v>
      </c>
      <c r="Z24" t="s">
        <v>30</v>
      </c>
      <c r="AA24" t="s">
        <v>30</v>
      </c>
    </row>
    <row r="25" spans="1:27" x14ac:dyDescent="0.3">
      <c r="A25" t="s">
        <v>133</v>
      </c>
      <c r="B25" s="8">
        <v>46282.623217592591</v>
      </c>
      <c r="C25" t="s">
        <v>2</v>
      </c>
      <c r="D25" t="s">
        <v>59</v>
      </c>
      <c r="E25" t="s">
        <v>135</v>
      </c>
      <c r="F25" t="s">
        <v>2563</v>
      </c>
      <c r="G25" t="s">
        <v>21</v>
      </c>
      <c r="H25" t="s">
        <v>23</v>
      </c>
      <c r="I25" t="s">
        <v>24</v>
      </c>
      <c r="J25" t="s">
        <v>25</v>
      </c>
      <c r="K25" t="s">
        <v>134</v>
      </c>
      <c r="L25">
        <v>131</v>
      </c>
      <c r="M25">
        <v>978</v>
      </c>
      <c r="N25">
        <v>19000</v>
      </c>
      <c r="O25">
        <v>32.552360999999998</v>
      </c>
      <c r="P25">
        <v>35.841332999999999</v>
      </c>
      <c r="Q25" t="s">
        <v>136</v>
      </c>
      <c r="S25" t="s">
        <v>2525</v>
      </c>
      <c r="U25" t="s">
        <v>2564</v>
      </c>
      <c r="V25" t="s">
        <v>55</v>
      </c>
      <c r="W25" t="s">
        <v>137</v>
      </c>
      <c r="Y25" t="s">
        <v>30</v>
      </c>
      <c r="Z25" t="s">
        <v>30</v>
      </c>
      <c r="AA25" t="str">
        <f>IF(NOT("https://maps.app.goo.gl/qcJ3aB7TRQRtsns16" = ""), HYPERLINK("https://maps.app.goo.gl/qcJ3aB7TRQRtsns16", "موقع"), "")</f>
        <v>موقع</v>
      </c>
    </row>
    <row r="26" spans="1:27" x14ac:dyDescent="0.3">
      <c r="A26" t="s">
        <v>138</v>
      </c>
      <c r="B26" s="8">
        <v>46282.623217592591</v>
      </c>
      <c r="C26" t="s">
        <v>2</v>
      </c>
      <c r="D26" t="s">
        <v>59</v>
      </c>
      <c r="E26" t="s">
        <v>72</v>
      </c>
      <c r="F26" t="s">
        <v>2565</v>
      </c>
      <c r="G26" t="s">
        <v>21</v>
      </c>
      <c r="H26" t="s">
        <v>23</v>
      </c>
      <c r="I26" t="s">
        <v>24</v>
      </c>
      <c r="J26" t="s">
        <v>70</v>
      </c>
      <c r="K26" t="s">
        <v>84</v>
      </c>
      <c r="L26">
        <v>111</v>
      </c>
      <c r="M26">
        <v>142</v>
      </c>
      <c r="N26">
        <v>19000</v>
      </c>
      <c r="O26">
        <v>32.597360999999999</v>
      </c>
      <c r="P26">
        <v>35.85425</v>
      </c>
      <c r="Q26" t="s">
        <v>139</v>
      </c>
      <c r="S26" t="s">
        <v>2525</v>
      </c>
      <c r="U26" t="s">
        <v>2566</v>
      </c>
      <c r="V26" t="s">
        <v>43</v>
      </c>
      <c r="W26" t="s">
        <v>140</v>
      </c>
      <c r="Y26" t="s">
        <v>30</v>
      </c>
      <c r="Z26" t="s">
        <v>30</v>
      </c>
      <c r="AA26" t="str">
        <f>IF(NOT("https://maps.app.goo.gl/nxs148FYHskVkgr49" = ""), HYPERLINK("https://maps.app.goo.gl/nxs148FYHskVkgr49", "موقع"), "")</f>
        <v>موقع</v>
      </c>
    </row>
    <row r="27" spans="1:27" x14ac:dyDescent="0.3">
      <c r="A27" t="s">
        <v>141</v>
      </c>
      <c r="B27" s="8">
        <v>46282.623217592591</v>
      </c>
      <c r="C27" t="s">
        <v>2</v>
      </c>
      <c r="D27" t="s">
        <v>59</v>
      </c>
      <c r="E27" t="s">
        <v>144</v>
      </c>
      <c r="F27" t="s">
        <v>2567</v>
      </c>
      <c r="G27" t="s">
        <v>21</v>
      </c>
      <c r="H27" t="s">
        <v>23</v>
      </c>
      <c r="I27" t="s">
        <v>24</v>
      </c>
      <c r="J27" t="s">
        <v>142</v>
      </c>
      <c r="K27" t="s">
        <v>143</v>
      </c>
      <c r="L27">
        <v>101</v>
      </c>
      <c r="M27">
        <v>489</v>
      </c>
      <c r="N27">
        <v>20000</v>
      </c>
      <c r="Q27" t="s">
        <v>131</v>
      </c>
      <c r="S27" t="s">
        <v>2525</v>
      </c>
      <c r="V27" t="s">
        <v>28</v>
      </c>
      <c r="W27" t="s">
        <v>145</v>
      </c>
      <c r="Y27" t="s">
        <v>30</v>
      </c>
      <c r="Z27" t="s">
        <v>30</v>
      </c>
      <c r="AA27" t="s">
        <v>30</v>
      </c>
    </row>
    <row r="28" spans="1:27" x14ac:dyDescent="0.3">
      <c r="A28" t="s">
        <v>146</v>
      </c>
      <c r="B28" s="8">
        <v>46282.623217592591</v>
      </c>
      <c r="C28" t="s">
        <v>2</v>
      </c>
      <c r="D28" t="s">
        <v>59</v>
      </c>
      <c r="E28" t="s">
        <v>62</v>
      </c>
      <c r="F28" t="s">
        <v>2568</v>
      </c>
      <c r="G28" t="s">
        <v>21</v>
      </c>
      <c r="H28" t="s">
        <v>23</v>
      </c>
      <c r="I28" t="s">
        <v>24</v>
      </c>
      <c r="J28" t="s">
        <v>60</v>
      </c>
      <c r="K28" t="s">
        <v>147</v>
      </c>
      <c r="L28">
        <v>121</v>
      </c>
      <c r="M28">
        <v>251</v>
      </c>
      <c r="N28">
        <v>21000</v>
      </c>
      <c r="O28">
        <v>32.579805999999998</v>
      </c>
      <c r="P28">
        <v>35.860028</v>
      </c>
      <c r="Q28" t="s">
        <v>148</v>
      </c>
      <c r="S28" t="s">
        <v>2525</v>
      </c>
      <c r="U28" t="s">
        <v>2569</v>
      </c>
      <c r="V28" t="s">
        <v>73</v>
      </c>
      <c r="W28" t="s">
        <v>149</v>
      </c>
      <c r="Y28" t="s">
        <v>30</v>
      </c>
      <c r="Z28" t="s">
        <v>30</v>
      </c>
      <c r="AA28" t="str">
        <f>IF(NOT("https://maps.app.goo.gl/8CfoQbUqLcogbtar5" = ""), HYPERLINK("https://maps.app.goo.gl/8CfoQbUqLcogbtar5", "موقع"), "")</f>
        <v>موقع</v>
      </c>
    </row>
    <row r="29" spans="1:27" x14ac:dyDescent="0.3">
      <c r="A29" t="s">
        <v>150</v>
      </c>
      <c r="B29" s="8">
        <v>46282.623217592591</v>
      </c>
      <c r="C29" t="s">
        <v>2</v>
      </c>
      <c r="D29" t="s">
        <v>59</v>
      </c>
      <c r="E29" t="s">
        <v>72</v>
      </c>
      <c r="F29" t="s">
        <v>2570</v>
      </c>
      <c r="G29" t="s">
        <v>21</v>
      </c>
      <c r="H29" t="s">
        <v>23</v>
      </c>
      <c r="I29" t="s">
        <v>24</v>
      </c>
      <c r="J29" t="s">
        <v>70</v>
      </c>
      <c r="K29" t="s">
        <v>84</v>
      </c>
      <c r="L29">
        <v>121</v>
      </c>
      <c r="M29">
        <v>136</v>
      </c>
      <c r="N29">
        <v>21000</v>
      </c>
      <c r="O29">
        <v>32.597278000000003</v>
      </c>
      <c r="P29">
        <v>35.854694000000002</v>
      </c>
      <c r="Q29" t="s">
        <v>131</v>
      </c>
      <c r="S29" t="s">
        <v>2525</v>
      </c>
      <c r="U29" t="s">
        <v>2571</v>
      </c>
      <c r="V29" t="s">
        <v>73</v>
      </c>
      <c r="W29" t="s">
        <v>151</v>
      </c>
      <c r="Y29" t="s">
        <v>30</v>
      </c>
      <c r="Z29" t="s">
        <v>30</v>
      </c>
      <c r="AA29" t="str">
        <f>IF(NOT("https://maps.app.goo.gl/ivM51wLEkSgrXEZZ8" = ""), HYPERLINK("https://maps.app.goo.gl/ivM51wLEkSgrXEZZ8", "موقع"), "")</f>
        <v>موقع</v>
      </c>
    </row>
    <row r="30" spans="1:27" x14ac:dyDescent="0.3">
      <c r="A30" t="s">
        <v>152</v>
      </c>
      <c r="B30" s="8">
        <v>46282.623217592591</v>
      </c>
      <c r="C30" t="s">
        <v>2</v>
      </c>
      <c r="D30" t="s">
        <v>59</v>
      </c>
      <c r="E30" t="s">
        <v>154</v>
      </c>
      <c r="F30" t="s">
        <v>2572</v>
      </c>
      <c r="G30" t="s">
        <v>21</v>
      </c>
      <c r="H30" t="s">
        <v>23</v>
      </c>
      <c r="I30" t="s">
        <v>24</v>
      </c>
      <c r="J30" t="s">
        <v>25</v>
      </c>
      <c r="K30" t="s">
        <v>153</v>
      </c>
      <c r="L30">
        <v>131</v>
      </c>
      <c r="M30">
        <v>973</v>
      </c>
      <c r="N30">
        <v>23000</v>
      </c>
      <c r="O30">
        <v>32.535583000000003</v>
      </c>
      <c r="P30">
        <v>35.848332999999997</v>
      </c>
      <c r="Q30" t="s">
        <v>155</v>
      </c>
      <c r="S30" t="s">
        <v>2525</v>
      </c>
      <c r="U30" t="s">
        <v>2573</v>
      </c>
      <c r="V30" t="s">
        <v>55</v>
      </c>
      <c r="W30" t="s">
        <v>156</v>
      </c>
      <c r="Y30" t="s">
        <v>30</v>
      </c>
      <c r="Z30" t="s">
        <v>30</v>
      </c>
      <c r="AA30" t="str">
        <f>IF(NOT("https://maps.app.goo.gl/XxBa8rnSbA42apRNA" = ""), HYPERLINK("https://maps.app.goo.gl/XxBa8rnSbA42apRNA", "موقع"), "")</f>
        <v>موقع</v>
      </c>
    </row>
    <row r="31" spans="1:27" x14ac:dyDescent="0.3">
      <c r="A31" t="s">
        <v>157</v>
      </c>
      <c r="B31" s="8">
        <v>46282.623217592591</v>
      </c>
      <c r="C31" t="s">
        <v>2</v>
      </c>
      <c r="D31" t="s">
        <v>59</v>
      </c>
      <c r="E31" t="s">
        <v>154</v>
      </c>
      <c r="F31" t="s">
        <v>2574</v>
      </c>
      <c r="G31" t="s">
        <v>21</v>
      </c>
      <c r="H31" t="s">
        <v>23</v>
      </c>
      <c r="I31" t="s">
        <v>24</v>
      </c>
      <c r="J31" t="s">
        <v>158</v>
      </c>
      <c r="K31" t="s">
        <v>159</v>
      </c>
      <c r="L31">
        <v>-112</v>
      </c>
      <c r="M31">
        <v>757</v>
      </c>
      <c r="N31">
        <v>27000</v>
      </c>
      <c r="Q31" t="s">
        <v>160</v>
      </c>
      <c r="S31" t="s">
        <v>2525</v>
      </c>
      <c r="V31" t="s">
        <v>33</v>
      </c>
      <c r="W31" t="s">
        <v>161</v>
      </c>
      <c r="Y31" t="s">
        <v>30</v>
      </c>
      <c r="Z31" t="s">
        <v>30</v>
      </c>
      <c r="AA31" t="s">
        <v>30</v>
      </c>
    </row>
    <row r="32" spans="1:27" x14ac:dyDescent="0.3">
      <c r="A32" t="s">
        <v>162</v>
      </c>
      <c r="B32" s="8">
        <v>46282.623217592591</v>
      </c>
      <c r="C32" t="s">
        <v>2</v>
      </c>
      <c r="D32" t="s">
        <v>59</v>
      </c>
      <c r="E32" t="s">
        <v>164</v>
      </c>
      <c r="F32" t="s">
        <v>2575</v>
      </c>
      <c r="G32" t="s">
        <v>21</v>
      </c>
      <c r="H32" t="s">
        <v>23</v>
      </c>
      <c r="I32" t="s">
        <v>24</v>
      </c>
      <c r="J32" t="s">
        <v>25</v>
      </c>
      <c r="K32" t="s">
        <v>163</v>
      </c>
      <c r="L32">
        <v>132</v>
      </c>
      <c r="M32">
        <v>1158</v>
      </c>
      <c r="N32">
        <v>29000</v>
      </c>
      <c r="O32">
        <v>32.549056</v>
      </c>
      <c r="P32">
        <v>35.857416999999998</v>
      </c>
      <c r="Q32" t="s">
        <v>165</v>
      </c>
      <c r="S32" t="s">
        <v>2525</v>
      </c>
      <c r="U32" t="s">
        <v>2576</v>
      </c>
      <c r="V32" t="s">
        <v>55</v>
      </c>
      <c r="W32" t="s">
        <v>166</v>
      </c>
      <c r="Y32" t="s">
        <v>30</v>
      </c>
      <c r="Z32" t="s">
        <v>30</v>
      </c>
      <c r="AA32" t="str">
        <f>IF(NOT("https://maps.app.goo.gl/L5sfg8uGv3JRWrX9A" = ""), HYPERLINK("https://maps.app.goo.gl/L5sfg8uGv3JRWrX9A", "موقع"), "")</f>
        <v>موقع</v>
      </c>
    </row>
    <row r="33" spans="1:27" x14ac:dyDescent="0.3">
      <c r="A33" t="s">
        <v>167</v>
      </c>
      <c r="B33" s="8">
        <v>46282.623217592591</v>
      </c>
      <c r="C33" t="s">
        <v>2</v>
      </c>
      <c r="D33" t="s">
        <v>59</v>
      </c>
      <c r="E33" t="s">
        <v>168</v>
      </c>
      <c r="F33" t="s">
        <v>2577</v>
      </c>
      <c r="G33" t="s">
        <v>21</v>
      </c>
      <c r="H33" t="s">
        <v>23</v>
      </c>
      <c r="I33" t="s">
        <v>24</v>
      </c>
      <c r="J33" t="s">
        <v>158</v>
      </c>
      <c r="K33" t="s">
        <v>159</v>
      </c>
      <c r="L33">
        <v>132</v>
      </c>
      <c r="M33">
        <v>757</v>
      </c>
      <c r="N33">
        <v>30000</v>
      </c>
      <c r="O33">
        <v>32.523249999999997</v>
      </c>
      <c r="P33">
        <v>35.836139000000003</v>
      </c>
      <c r="Q33" t="s">
        <v>160</v>
      </c>
      <c r="R33" t="s">
        <v>2578</v>
      </c>
      <c r="S33" t="s">
        <v>2579</v>
      </c>
      <c r="U33" t="s">
        <v>2580</v>
      </c>
      <c r="V33" t="s">
        <v>55</v>
      </c>
      <c r="W33" t="s">
        <v>169</v>
      </c>
      <c r="X33" t="s">
        <v>2581</v>
      </c>
      <c r="Y33" t="str">
        <f>IF(NOT("https://youtu.be/opZG8EsqJq4" = ""), HYPERLINK("https://youtu.be/opZG8EsqJq4", "فيديو"), "")</f>
        <v>فيديو</v>
      </c>
      <c r="Z33" t="str">
        <f>IF(NOT("https://truemarkets3d.net/3d-virtual-tour/housingbank-realestate/phase3/aq-re-100669/index.html" = ""), HYPERLINK("https://truemarkets3d.net/3d-virtual-tour/housingbank-realestate/phase3/aq-re-100669/index.html", "جولة"), "")</f>
        <v>جولة</v>
      </c>
      <c r="AA33" t="str">
        <f>IF(NOT("https://maps.app.goo.gl/VpigZNcwwamvb6Sx5" = ""), HYPERLINK("https://maps.app.goo.gl/VpigZNcwwamvb6Sx5", "موقع"), "")</f>
        <v>موقع</v>
      </c>
    </row>
    <row r="34" spans="1:27" x14ac:dyDescent="0.3">
      <c r="A34" t="s">
        <v>170</v>
      </c>
      <c r="B34" s="8">
        <v>46282.623217592591</v>
      </c>
      <c r="C34" t="s">
        <v>2</v>
      </c>
      <c r="D34" t="s">
        <v>59</v>
      </c>
      <c r="E34" t="s">
        <v>172</v>
      </c>
      <c r="F34" t="s">
        <v>2582</v>
      </c>
      <c r="G34" t="s">
        <v>21</v>
      </c>
      <c r="H34" t="s">
        <v>23</v>
      </c>
      <c r="I34" t="s">
        <v>24</v>
      </c>
      <c r="J34" t="s">
        <v>25</v>
      </c>
      <c r="K34" t="s">
        <v>171</v>
      </c>
      <c r="L34">
        <v>201</v>
      </c>
      <c r="M34">
        <v>1843</v>
      </c>
      <c r="N34">
        <v>31000</v>
      </c>
      <c r="Q34" t="s">
        <v>131</v>
      </c>
      <c r="S34" t="s">
        <v>2525</v>
      </c>
      <c r="V34" t="s">
        <v>28</v>
      </c>
      <c r="W34" t="s">
        <v>173</v>
      </c>
      <c r="Y34" t="s">
        <v>30</v>
      </c>
      <c r="Z34" t="s">
        <v>30</v>
      </c>
      <c r="AA34" t="s">
        <v>30</v>
      </c>
    </row>
    <row r="35" spans="1:27" x14ac:dyDescent="0.3">
      <c r="A35" t="s">
        <v>174</v>
      </c>
      <c r="B35" s="8">
        <v>46282.623217592591</v>
      </c>
      <c r="C35" t="s">
        <v>2</v>
      </c>
      <c r="D35" t="s">
        <v>59</v>
      </c>
      <c r="E35" t="s">
        <v>27</v>
      </c>
      <c r="F35" t="s">
        <v>2583</v>
      </c>
      <c r="G35" t="s">
        <v>21</v>
      </c>
      <c r="H35" t="s">
        <v>23</v>
      </c>
      <c r="I35" t="s">
        <v>24</v>
      </c>
      <c r="J35" t="s">
        <v>25</v>
      </c>
      <c r="K35" t="s">
        <v>26</v>
      </c>
      <c r="L35">
        <v>232</v>
      </c>
      <c r="M35">
        <v>1492</v>
      </c>
      <c r="N35">
        <v>33000</v>
      </c>
      <c r="O35">
        <v>32.552889</v>
      </c>
      <c r="P35">
        <v>35.860056</v>
      </c>
      <c r="Q35" t="s">
        <v>175</v>
      </c>
      <c r="S35" t="s">
        <v>2525</v>
      </c>
      <c r="U35" t="s">
        <v>2584</v>
      </c>
      <c r="V35" t="s">
        <v>55</v>
      </c>
      <c r="W35" t="s">
        <v>176</v>
      </c>
      <c r="Y35" t="s">
        <v>30</v>
      </c>
      <c r="Z35" t="s">
        <v>30</v>
      </c>
      <c r="AA35" t="str">
        <f>IF(NOT("https://maps.app.goo.gl/SB8wU69enw42vbf58" = ""), HYPERLINK("https://maps.app.goo.gl/SB8wU69enw42vbf58", "موقع"), "")</f>
        <v>موقع</v>
      </c>
    </row>
    <row r="36" spans="1:27" x14ac:dyDescent="0.3">
      <c r="A36" t="s">
        <v>177</v>
      </c>
      <c r="B36" s="8">
        <v>46282.623217592591</v>
      </c>
      <c r="C36" t="s">
        <v>2</v>
      </c>
      <c r="D36" t="s">
        <v>59</v>
      </c>
      <c r="E36" t="s">
        <v>172</v>
      </c>
      <c r="F36" t="s">
        <v>2585</v>
      </c>
      <c r="G36" t="s">
        <v>21</v>
      </c>
      <c r="H36" t="s">
        <v>23</v>
      </c>
      <c r="I36" t="s">
        <v>24</v>
      </c>
      <c r="J36" t="s">
        <v>25</v>
      </c>
      <c r="K36" t="s">
        <v>178</v>
      </c>
      <c r="L36">
        <v>-102</v>
      </c>
      <c r="M36">
        <v>1248</v>
      </c>
      <c r="N36">
        <v>35000</v>
      </c>
      <c r="O36">
        <v>32.547027999999997</v>
      </c>
      <c r="P36">
        <v>35.871194000000003</v>
      </c>
      <c r="Q36" t="s">
        <v>179</v>
      </c>
      <c r="S36" t="s">
        <v>2525</v>
      </c>
      <c r="U36" t="s">
        <v>2586</v>
      </c>
      <c r="V36" t="s">
        <v>33</v>
      </c>
      <c r="W36" t="s">
        <v>180</v>
      </c>
      <c r="Y36" t="s">
        <v>30</v>
      </c>
      <c r="Z36" t="s">
        <v>30</v>
      </c>
      <c r="AA36" t="str">
        <f>IF(NOT("https://maps.app.goo.gl/NsLS8iU65jAWVMjE9" = ""), HYPERLINK("https://maps.app.goo.gl/NsLS8iU65jAWVMjE9", "موقع"), "")</f>
        <v>موقع</v>
      </c>
    </row>
    <row r="37" spans="1:27" x14ac:dyDescent="0.3">
      <c r="A37" t="s">
        <v>181</v>
      </c>
      <c r="B37" s="8">
        <v>46282.623217592591</v>
      </c>
      <c r="C37" t="s">
        <v>2</v>
      </c>
      <c r="D37" t="s">
        <v>59</v>
      </c>
      <c r="E37" t="s">
        <v>185</v>
      </c>
      <c r="F37" t="s">
        <v>2587</v>
      </c>
      <c r="G37" t="s">
        <v>21</v>
      </c>
      <c r="H37" t="s">
        <v>23</v>
      </c>
      <c r="I37" t="s">
        <v>182</v>
      </c>
      <c r="J37" t="s">
        <v>183</v>
      </c>
      <c r="K37" t="s">
        <v>184</v>
      </c>
      <c r="L37">
        <v>111</v>
      </c>
      <c r="M37">
        <v>254</v>
      </c>
      <c r="N37">
        <v>35000</v>
      </c>
      <c r="O37">
        <v>32.635528000000001</v>
      </c>
      <c r="P37">
        <v>35.986556</v>
      </c>
      <c r="Q37" t="s">
        <v>186</v>
      </c>
      <c r="S37" t="s">
        <v>2525</v>
      </c>
      <c r="U37" t="s">
        <v>2588</v>
      </c>
      <c r="V37" t="s">
        <v>43</v>
      </c>
      <c r="W37" t="s">
        <v>187</v>
      </c>
      <c r="Y37" t="s">
        <v>30</v>
      </c>
      <c r="Z37" t="s">
        <v>30</v>
      </c>
      <c r="AA37" t="str">
        <f>IF(NOT("https://maps.app.goo.gl/sUx9eLQiJ9ci4AGQ6" = ""), HYPERLINK("https://maps.app.goo.gl/sUx9eLQiJ9ci4AGQ6", "موقع"), "")</f>
        <v>موقع</v>
      </c>
    </row>
    <row r="38" spans="1:27" x14ac:dyDescent="0.3">
      <c r="A38" t="s">
        <v>188</v>
      </c>
      <c r="B38" s="8">
        <v>46282.623217592591</v>
      </c>
      <c r="C38" t="s">
        <v>2</v>
      </c>
      <c r="D38" t="s">
        <v>59</v>
      </c>
      <c r="E38" t="s">
        <v>190</v>
      </c>
      <c r="F38" t="s">
        <v>2589</v>
      </c>
      <c r="G38" t="s">
        <v>21</v>
      </c>
      <c r="H38" t="s">
        <v>23</v>
      </c>
      <c r="I38" t="s">
        <v>24</v>
      </c>
      <c r="J38" t="s">
        <v>25</v>
      </c>
      <c r="K38" t="s">
        <v>189</v>
      </c>
      <c r="L38">
        <v>-101</v>
      </c>
      <c r="M38">
        <v>127</v>
      </c>
      <c r="N38">
        <v>35000</v>
      </c>
      <c r="O38">
        <v>32.563721999999999</v>
      </c>
      <c r="P38">
        <v>35.881360999999998</v>
      </c>
      <c r="Q38" t="s">
        <v>191</v>
      </c>
      <c r="R38" t="s">
        <v>2590</v>
      </c>
      <c r="S38" t="s">
        <v>2579</v>
      </c>
      <c r="U38" t="s">
        <v>2591</v>
      </c>
      <c r="V38" t="s">
        <v>33</v>
      </c>
      <c r="W38" t="s">
        <v>192</v>
      </c>
      <c r="Y38" t="s">
        <v>30</v>
      </c>
      <c r="Z38" t="str">
        <f>IF(NOT("https://truemarkets3d.net/3d-virtual-tour/housingbank-realestate/phase3/aq-re-100107/index.html" = ""), HYPERLINK("https://truemarkets3d.net/3d-virtual-tour/housingbank-realestate/phase3/aq-re-100107/index.html", "جولة"), "")</f>
        <v>جولة</v>
      </c>
      <c r="AA38" t="str">
        <f>IF(NOT("https://maps.app.goo.gl/UCxzHEFFf2i1wE8n7" = ""), HYPERLINK("https://maps.app.goo.gl/UCxzHEFFf2i1wE8n7", "موقع"), "")</f>
        <v>موقع</v>
      </c>
    </row>
    <row r="39" spans="1:27" x14ac:dyDescent="0.3">
      <c r="A39" t="s">
        <v>193</v>
      </c>
      <c r="B39" s="8">
        <v>46282.623217592591</v>
      </c>
      <c r="C39" t="s">
        <v>2</v>
      </c>
      <c r="D39" t="s">
        <v>59</v>
      </c>
      <c r="E39" t="s">
        <v>194</v>
      </c>
      <c r="F39" t="s">
        <v>2592</v>
      </c>
      <c r="G39" t="s">
        <v>21</v>
      </c>
      <c r="H39" t="s">
        <v>23</v>
      </c>
      <c r="I39" t="s">
        <v>24</v>
      </c>
      <c r="J39" t="s">
        <v>25</v>
      </c>
      <c r="K39" t="s">
        <v>26</v>
      </c>
      <c r="L39">
        <v>211</v>
      </c>
      <c r="M39">
        <v>1492</v>
      </c>
      <c r="N39">
        <v>36000</v>
      </c>
      <c r="O39">
        <v>32.552889</v>
      </c>
      <c r="P39">
        <v>35.860056</v>
      </c>
      <c r="Q39" t="s">
        <v>136</v>
      </c>
      <c r="S39" t="s">
        <v>2525</v>
      </c>
      <c r="U39" t="s">
        <v>2593</v>
      </c>
      <c r="V39" t="s">
        <v>43</v>
      </c>
      <c r="W39" t="s">
        <v>195</v>
      </c>
      <c r="Y39" t="s">
        <v>30</v>
      </c>
      <c r="Z39" t="s">
        <v>30</v>
      </c>
      <c r="AA39" t="str">
        <f>IF(NOT("https://maps.app.goo.gl/PqnSnwt8DfiB5KAq9" = ""), HYPERLINK("https://maps.app.goo.gl/PqnSnwt8DfiB5KAq9", "موقع"), "")</f>
        <v>موقع</v>
      </c>
    </row>
    <row r="40" spans="1:27" x14ac:dyDescent="0.3">
      <c r="A40" t="s">
        <v>196</v>
      </c>
      <c r="B40" s="8">
        <v>46282.623217592591</v>
      </c>
      <c r="C40" t="s">
        <v>2</v>
      </c>
      <c r="D40" t="s">
        <v>59</v>
      </c>
      <c r="E40" t="s">
        <v>197</v>
      </c>
      <c r="F40" t="s">
        <v>2594</v>
      </c>
      <c r="G40" t="s">
        <v>21</v>
      </c>
      <c r="H40" t="s">
        <v>23</v>
      </c>
      <c r="I40" t="s">
        <v>24</v>
      </c>
      <c r="J40" t="s">
        <v>25</v>
      </c>
      <c r="K40" t="s">
        <v>163</v>
      </c>
      <c r="L40">
        <v>141</v>
      </c>
      <c r="M40">
        <v>1713</v>
      </c>
      <c r="N40">
        <v>36000</v>
      </c>
      <c r="O40">
        <v>32.549028</v>
      </c>
      <c r="P40">
        <v>35.863083000000003</v>
      </c>
      <c r="Q40" t="s">
        <v>199</v>
      </c>
      <c r="S40" t="s">
        <v>2525</v>
      </c>
      <c r="U40" t="s">
        <v>2595</v>
      </c>
      <c r="V40" t="s">
        <v>198</v>
      </c>
      <c r="W40" t="s">
        <v>200</v>
      </c>
      <c r="Y40" t="s">
        <v>30</v>
      </c>
      <c r="Z40" t="s">
        <v>30</v>
      </c>
      <c r="AA40" t="str">
        <f>IF(NOT("https://maps.app.goo.gl/4Un7d65BjFH1Tevo6" = ""), HYPERLINK("https://maps.app.goo.gl/4Un7d65BjFH1Tevo6", "موقع"), "")</f>
        <v>موقع</v>
      </c>
    </row>
    <row r="41" spans="1:27" x14ac:dyDescent="0.3">
      <c r="A41" t="s">
        <v>201</v>
      </c>
      <c r="B41" s="8">
        <v>46282.623217592591</v>
      </c>
      <c r="C41" t="s">
        <v>2</v>
      </c>
      <c r="D41" t="s">
        <v>59</v>
      </c>
      <c r="E41" t="s">
        <v>114</v>
      </c>
      <c r="F41" t="s">
        <v>2596</v>
      </c>
      <c r="G41" t="s">
        <v>21</v>
      </c>
      <c r="H41" t="s">
        <v>23</v>
      </c>
      <c r="I41" t="s">
        <v>124</v>
      </c>
      <c r="J41" t="s">
        <v>202</v>
      </c>
      <c r="K41" t="s">
        <v>203</v>
      </c>
      <c r="L41">
        <v>0</v>
      </c>
      <c r="M41">
        <v>180</v>
      </c>
      <c r="N41">
        <v>37000</v>
      </c>
      <c r="O41">
        <v>32.674971999999997</v>
      </c>
      <c r="P41">
        <v>35.787944000000003</v>
      </c>
      <c r="Q41" t="s">
        <v>204</v>
      </c>
      <c r="S41" t="s">
        <v>2525</v>
      </c>
      <c r="U41" t="s">
        <v>2597</v>
      </c>
      <c r="V41" t="s">
        <v>43</v>
      </c>
      <c r="W41" t="s">
        <v>205</v>
      </c>
      <c r="Y41" t="s">
        <v>30</v>
      </c>
      <c r="Z41" t="s">
        <v>30</v>
      </c>
      <c r="AA41" t="str">
        <f>IF(NOT("https://maps.app.goo.gl/dGHq4epphoU5ULie9" = ""), HYPERLINK("https://maps.app.goo.gl/dGHq4epphoU5ULie9", "موقع"), "")</f>
        <v>موقع</v>
      </c>
    </row>
    <row r="42" spans="1:27" x14ac:dyDescent="0.3">
      <c r="A42" t="s">
        <v>206</v>
      </c>
      <c r="B42" s="8">
        <v>46282.623217592591</v>
      </c>
      <c r="C42" t="s">
        <v>2</v>
      </c>
      <c r="D42" t="s">
        <v>59</v>
      </c>
      <c r="E42" t="s">
        <v>194</v>
      </c>
      <c r="F42" t="s">
        <v>2598</v>
      </c>
      <c r="G42" t="s">
        <v>21</v>
      </c>
      <c r="H42" t="s">
        <v>23</v>
      </c>
      <c r="I42" t="s">
        <v>24</v>
      </c>
      <c r="J42" t="s">
        <v>25</v>
      </c>
      <c r="K42" t="s">
        <v>207</v>
      </c>
      <c r="L42">
        <v>131</v>
      </c>
      <c r="M42">
        <v>363</v>
      </c>
      <c r="N42">
        <v>37000</v>
      </c>
      <c r="Q42" t="s">
        <v>208</v>
      </c>
      <c r="S42" t="s">
        <v>2525</v>
      </c>
      <c r="V42" t="s">
        <v>55</v>
      </c>
      <c r="W42" t="s">
        <v>209</v>
      </c>
      <c r="Y42" t="s">
        <v>30</v>
      </c>
      <c r="Z42" t="s">
        <v>30</v>
      </c>
      <c r="AA42" t="s">
        <v>30</v>
      </c>
    </row>
    <row r="43" spans="1:27" x14ac:dyDescent="0.3">
      <c r="A43" t="s">
        <v>210</v>
      </c>
      <c r="B43" s="8">
        <v>46282.623217592591</v>
      </c>
      <c r="C43" t="s">
        <v>2</v>
      </c>
      <c r="D43" t="s">
        <v>59</v>
      </c>
      <c r="E43" t="s">
        <v>172</v>
      </c>
      <c r="F43" t="s">
        <v>2599</v>
      </c>
      <c r="G43" t="s">
        <v>21</v>
      </c>
      <c r="H43" t="s">
        <v>23</v>
      </c>
      <c r="I43" t="s">
        <v>24</v>
      </c>
      <c r="J43" t="s">
        <v>25</v>
      </c>
      <c r="K43" t="s">
        <v>171</v>
      </c>
      <c r="L43">
        <v>232</v>
      </c>
      <c r="M43">
        <v>1846</v>
      </c>
      <c r="N43">
        <v>37000</v>
      </c>
      <c r="O43">
        <v>32.558833</v>
      </c>
      <c r="P43">
        <v>35.865361</v>
      </c>
      <c r="Q43" t="s">
        <v>211</v>
      </c>
      <c r="S43" t="s">
        <v>2525</v>
      </c>
      <c r="U43" t="s">
        <v>2600</v>
      </c>
      <c r="V43" t="s">
        <v>55</v>
      </c>
      <c r="W43" t="s">
        <v>212</v>
      </c>
      <c r="Y43" t="s">
        <v>30</v>
      </c>
      <c r="Z43" t="s">
        <v>30</v>
      </c>
      <c r="AA43" t="str">
        <f>IF(NOT("https://maps.app.goo.gl/TPrXW1EDVQ2waGSw8" = ""), HYPERLINK("https://maps.app.goo.gl/TPrXW1EDVQ2waGSw8", "موقع"), "")</f>
        <v>موقع</v>
      </c>
    </row>
    <row r="44" spans="1:27" x14ac:dyDescent="0.3">
      <c r="A44" t="s">
        <v>213</v>
      </c>
      <c r="B44" s="8">
        <v>46282.623217592591</v>
      </c>
      <c r="C44" t="s">
        <v>2</v>
      </c>
      <c r="D44" t="s">
        <v>59</v>
      </c>
      <c r="E44" t="s">
        <v>154</v>
      </c>
      <c r="F44" t="s">
        <v>2601</v>
      </c>
      <c r="G44" t="s">
        <v>21</v>
      </c>
      <c r="H44" t="s">
        <v>23</v>
      </c>
      <c r="I44" t="s">
        <v>24</v>
      </c>
      <c r="J44" t="s">
        <v>214</v>
      </c>
      <c r="K44" t="s">
        <v>215</v>
      </c>
      <c r="L44">
        <v>121</v>
      </c>
      <c r="M44">
        <v>803</v>
      </c>
      <c r="N44">
        <v>38000</v>
      </c>
      <c r="Q44" t="s">
        <v>216</v>
      </c>
      <c r="S44" t="s">
        <v>2525</v>
      </c>
      <c r="V44" t="s">
        <v>73</v>
      </c>
      <c r="W44" t="s">
        <v>217</v>
      </c>
      <c r="Y44" t="s">
        <v>30</v>
      </c>
      <c r="Z44" t="s">
        <v>30</v>
      </c>
      <c r="AA44" t="s">
        <v>30</v>
      </c>
    </row>
    <row r="45" spans="1:27" x14ac:dyDescent="0.3">
      <c r="A45" t="s">
        <v>218</v>
      </c>
      <c r="B45" s="8">
        <v>46282.623217592591</v>
      </c>
      <c r="C45" t="s">
        <v>2</v>
      </c>
      <c r="D45" t="s">
        <v>59</v>
      </c>
      <c r="E45" t="s">
        <v>190</v>
      </c>
      <c r="F45" t="s">
        <v>2602</v>
      </c>
      <c r="G45" t="s">
        <v>21</v>
      </c>
      <c r="H45" t="s">
        <v>23</v>
      </c>
      <c r="I45" t="s">
        <v>24</v>
      </c>
      <c r="J45" t="s">
        <v>25</v>
      </c>
      <c r="K45" t="s">
        <v>178</v>
      </c>
      <c r="L45">
        <v>121</v>
      </c>
      <c r="M45">
        <v>726</v>
      </c>
      <c r="N45">
        <v>39000</v>
      </c>
      <c r="O45">
        <v>32.549083000000003</v>
      </c>
      <c r="P45">
        <v>35.873361000000003</v>
      </c>
      <c r="Q45" t="s">
        <v>219</v>
      </c>
      <c r="S45" t="s">
        <v>2525</v>
      </c>
      <c r="U45" t="s">
        <v>2603</v>
      </c>
      <c r="V45" t="s">
        <v>73</v>
      </c>
      <c r="W45" t="s">
        <v>220</v>
      </c>
      <c r="Y45" t="s">
        <v>30</v>
      </c>
      <c r="Z45" t="s">
        <v>30</v>
      </c>
      <c r="AA45" t="str">
        <f>IF(NOT("https://maps.app.goo.gl/36qMcFscNxQ49Z9y9" = ""), HYPERLINK("https://maps.app.goo.gl/36qMcFscNxQ49Z9y9", "موقع"), "")</f>
        <v>موقع</v>
      </c>
    </row>
    <row r="46" spans="1:27" x14ac:dyDescent="0.3">
      <c r="A46" t="s">
        <v>221</v>
      </c>
      <c r="B46" s="8">
        <v>46282.623217592591</v>
      </c>
      <c r="C46" t="s">
        <v>2</v>
      </c>
      <c r="D46" t="s">
        <v>59</v>
      </c>
      <c r="E46" t="s">
        <v>168</v>
      </c>
      <c r="F46" t="s">
        <v>2604</v>
      </c>
      <c r="G46" t="s">
        <v>21</v>
      </c>
      <c r="H46" t="s">
        <v>23</v>
      </c>
      <c r="I46" t="s">
        <v>24</v>
      </c>
      <c r="J46" t="s">
        <v>158</v>
      </c>
      <c r="K46" t="s">
        <v>159</v>
      </c>
      <c r="L46">
        <v>121</v>
      </c>
      <c r="M46">
        <v>757</v>
      </c>
      <c r="N46">
        <v>40000</v>
      </c>
      <c r="O46">
        <v>32.523221999999997</v>
      </c>
      <c r="P46">
        <v>35.836111000000002</v>
      </c>
      <c r="Q46" t="s">
        <v>160</v>
      </c>
      <c r="S46" t="s">
        <v>2525</v>
      </c>
      <c r="U46" t="s">
        <v>2605</v>
      </c>
      <c r="V46" t="s">
        <v>73</v>
      </c>
      <c r="W46" t="s">
        <v>222</v>
      </c>
      <c r="Y46" t="s">
        <v>30</v>
      </c>
      <c r="Z46" t="s">
        <v>30</v>
      </c>
      <c r="AA46" t="str">
        <f>IF(NOT("https://maps.app.goo.gl/v8QHAXyBeqSDBGHJ9" = ""), HYPERLINK("https://maps.app.goo.gl/v8QHAXyBeqSDBGHJ9", "موقع"), "")</f>
        <v>موقع</v>
      </c>
    </row>
    <row r="47" spans="1:27" x14ac:dyDescent="0.3">
      <c r="A47" t="s">
        <v>223</v>
      </c>
      <c r="B47" s="8">
        <v>46282.623217592591</v>
      </c>
      <c r="C47" t="s">
        <v>2</v>
      </c>
      <c r="D47" t="s">
        <v>59</v>
      </c>
      <c r="E47" t="s">
        <v>225</v>
      </c>
      <c r="F47" t="s">
        <v>2606</v>
      </c>
      <c r="G47" t="s">
        <v>21</v>
      </c>
      <c r="H47" t="s">
        <v>23</v>
      </c>
      <c r="I47" t="s">
        <v>24</v>
      </c>
      <c r="J47" t="s">
        <v>25</v>
      </c>
      <c r="K47" t="s">
        <v>224</v>
      </c>
      <c r="L47">
        <v>133</v>
      </c>
      <c r="M47">
        <v>468</v>
      </c>
      <c r="N47">
        <v>41000</v>
      </c>
      <c r="O47">
        <v>32.543083000000003</v>
      </c>
      <c r="P47">
        <v>35.856527999999997</v>
      </c>
      <c r="Q47" t="s">
        <v>121</v>
      </c>
      <c r="R47" t="s">
        <v>2607</v>
      </c>
      <c r="S47" t="s">
        <v>2579</v>
      </c>
      <c r="U47" t="s">
        <v>2608</v>
      </c>
      <c r="V47" t="s">
        <v>55</v>
      </c>
      <c r="W47" t="s">
        <v>226</v>
      </c>
      <c r="Y47" t="s">
        <v>30</v>
      </c>
      <c r="Z47" t="str">
        <f>IF(NOT("https://truemarkets3d.net/3d-virtual-tour/housingbank-realestate/phase3/aq-re-100296/index.html" = ""), HYPERLINK("https://truemarkets3d.net/3d-virtual-tour/housingbank-realestate/phase3/aq-re-100296/index.html", "جولة"), "")</f>
        <v>جولة</v>
      </c>
      <c r="AA47" t="str">
        <f>IF(NOT("https://maps.app.goo.gl/QtRiHXsHnoZrmjbS7" = ""), HYPERLINK("https://maps.app.goo.gl/QtRiHXsHnoZrmjbS7", "موقع"), "")</f>
        <v>موقع</v>
      </c>
    </row>
    <row r="48" spans="1:27" x14ac:dyDescent="0.3">
      <c r="A48" t="s">
        <v>227</v>
      </c>
      <c r="B48" s="8">
        <v>46282.623217592591</v>
      </c>
      <c r="C48" t="s">
        <v>2</v>
      </c>
      <c r="D48" t="s">
        <v>59</v>
      </c>
      <c r="E48" t="s">
        <v>114</v>
      </c>
      <c r="F48" t="s">
        <v>2609</v>
      </c>
      <c r="G48" t="s">
        <v>21</v>
      </c>
      <c r="H48" t="s">
        <v>23</v>
      </c>
      <c r="I48" t="s">
        <v>24</v>
      </c>
      <c r="J48" t="s">
        <v>112</v>
      </c>
      <c r="K48" t="s">
        <v>228</v>
      </c>
      <c r="L48">
        <v>212</v>
      </c>
      <c r="M48">
        <v>257</v>
      </c>
      <c r="N48">
        <v>42000</v>
      </c>
      <c r="O48">
        <v>32.525860999999999</v>
      </c>
      <c r="P48">
        <v>35.851388999999998</v>
      </c>
      <c r="Q48" t="s">
        <v>229</v>
      </c>
      <c r="S48" t="s">
        <v>2525</v>
      </c>
      <c r="U48" t="s">
        <v>2610</v>
      </c>
      <c r="V48" t="s">
        <v>43</v>
      </c>
      <c r="W48" t="s">
        <v>230</v>
      </c>
      <c r="Y48" t="s">
        <v>30</v>
      </c>
      <c r="Z48" t="s">
        <v>30</v>
      </c>
      <c r="AA48" t="str">
        <f>IF(NOT("https://maps.app.goo.gl/uaa27MgRyaTBNXWC6" = ""), HYPERLINK("https://maps.app.goo.gl/uaa27MgRyaTBNXWC6", "موقع"), "")</f>
        <v>موقع</v>
      </c>
    </row>
    <row r="49" spans="1:27" x14ac:dyDescent="0.3">
      <c r="A49" t="s">
        <v>231</v>
      </c>
      <c r="B49" s="8">
        <v>46282.623217592591</v>
      </c>
      <c r="C49" t="s">
        <v>2</v>
      </c>
      <c r="D49" t="s">
        <v>59</v>
      </c>
      <c r="E49" t="s">
        <v>190</v>
      </c>
      <c r="F49" t="s">
        <v>2611</v>
      </c>
      <c r="G49" t="s">
        <v>21</v>
      </c>
      <c r="H49" t="s">
        <v>23</v>
      </c>
      <c r="I49" t="s">
        <v>24</v>
      </c>
      <c r="J49" t="s">
        <v>25</v>
      </c>
      <c r="K49" t="s">
        <v>232</v>
      </c>
      <c r="L49">
        <v>132</v>
      </c>
      <c r="M49">
        <v>625</v>
      </c>
      <c r="N49">
        <v>42000</v>
      </c>
      <c r="O49">
        <v>32.551861000000002</v>
      </c>
      <c r="P49">
        <v>35.868555999999998</v>
      </c>
      <c r="Q49" t="s">
        <v>233</v>
      </c>
      <c r="S49" t="s">
        <v>2525</v>
      </c>
      <c r="U49" t="s">
        <v>2612</v>
      </c>
      <c r="V49" t="s">
        <v>55</v>
      </c>
      <c r="W49" t="s">
        <v>234</v>
      </c>
      <c r="Y49" t="s">
        <v>30</v>
      </c>
      <c r="Z49" t="s">
        <v>30</v>
      </c>
      <c r="AA49" t="str">
        <f>IF(NOT("https://maps.app.goo.gl/GAujN5Ln8H6SXLUK6" = ""), HYPERLINK("https://maps.app.goo.gl/GAujN5Ln8H6SXLUK6", "موقع"), "")</f>
        <v>موقع</v>
      </c>
    </row>
    <row r="50" spans="1:27" x14ac:dyDescent="0.3">
      <c r="A50" t="s">
        <v>235</v>
      </c>
      <c r="B50" s="8">
        <v>46282.623217592591</v>
      </c>
      <c r="C50" t="s">
        <v>2</v>
      </c>
      <c r="D50" t="s">
        <v>59</v>
      </c>
      <c r="E50" t="s">
        <v>114</v>
      </c>
      <c r="F50" t="s">
        <v>2613</v>
      </c>
      <c r="G50" t="s">
        <v>21</v>
      </c>
      <c r="H50" t="s">
        <v>23</v>
      </c>
      <c r="I50" t="s">
        <v>24</v>
      </c>
      <c r="J50" t="s">
        <v>112</v>
      </c>
      <c r="K50" t="s">
        <v>236</v>
      </c>
      <c r="L50">
        <v>-102</v>
      </c>
      <c r="M50">
        <v>173</v>
      </c>
      <c r="N50">
        <v>43000</v>
      </c>
      <c r="Q50" t="s">
        <v>67</v>
      </c>
      <c r="S50" t="s">
        <v>2525</v>
      </c>
      <c r="V50" t="s">
        <v>33</v>
      </c>
      <c r="W50" t="s">
        <v>237</v>
      </c>
      <c r="Y50" t="s">
        <v>30</v>
      </c>
      <c r="Z50" t="s">
        <v>30</v>
      </c>
      <c r="AA50" t="s">
        <v>30</v>
      </c>
    </row>
    <row r="51" spans="1:27" x14ac:dyDescent="0.3">
      <c r="A51" t="s">
        <v>238</v>
      </c>
      <c r="B51" s="8">
        <v>46282.623217592591</v>
      </c>
      <c r="C51" t="s">
        <v>2</v>
      </c>
      <c r="D51" t="s">
        <v>59</v>
      </c>
      <c r="E51" t="s">
        <v>114</v>
      </c>
      <c r="F51" t="s">
        <v>2614</v>
      </c>
      <c r="G51" t="s">
        <v>21</v>
      </c>
      <c r="H51" t="s">
        <v>23</v>
      </c>
      <c r="I51" t="s">
        <v>24</v>
      </c>
      <c r="J51" t="s">
        <v>112</v>
      </c>
      <c r="K51" t="s">
        <v>228</v>
      </c>
      <c r="L51">
        <v>132</v>
      </c>
      <c r="M51">
        <v>349</v>
      </c>
      <c r="N51">
        <v>46000</v>
      </c>
      <c r="O51">
        <v>32.528222</v>
      </c>
      <c r="P51">
        <v>35.850777999999998</v>
      </c>
      <c r="Q51" t="s">
        <v>239</v>
      </c>
      <c r="S51" t="s">
        <v>2525</v>
      </c>
      <c r="U51" t="s">
        <v>2615</v>
      </c>
      <c r="V51" t="s">
        <v>55</v>
      </c>
      <c r="W51" t="s">
        <v>240</v>
      </c>
      <c r="Y51" t="s">
        <v>30</v>
      </c>
      <c r="Z51" t="s">
        <v>30</v>
      </c>
      <c r="AA51" t="str">
        <f>IF(NOT("https://maps.app.goo.gl/f5s35FVrWbP37fTZ6" = ""), HYPERLINK("https://maps.app.goo.gl/f5s35FVrWbP37fTZ6", "موقع"), "")</f>
        <v>موقع</v>
      </c>
    </row>
    <row r="52" spans="1:27" x14ac:dyDescent="0.3">
      <c r="A52" t="s">
        <v>241</v>
      </c>
      <c r="B52" s="8">
        <v>46282.623217592591</v>
      </c>
      <c r="C52" t="s">
        <v>2</v>
      </c>
      <c r="D52" t="s">
        <v>59</v>
      </c>
      <c r="E52" t="s">
        <v>172</v>
      </c>
      <c r="F52" t="s">
        <v>2616</v>
      </c>
      <c r="G52" t="s">
        <v>21</v>
      </c>
      <c r="H52" t="s">
        <v>23</v>
      </c>
      <c r="I52" t="s">
        <v>24</v>
      </c>
      <c r="J52" t="s">
        <v>25</v>
      </c>
      <c r="K52" t="s">
        <v>242</v>
      </c>
      <c r="L52">
        <v>131</v>
      </c>
      <c r="M52">
        <v>305</v>
      </c>
      <c r="N52">
        <v>46000</v>
      </c>
      <c r="O52">
        <v>32.566889000000003</v>
      </c>
      <c r="P52">
        <v>35.875556000000003</v>
      </c>
      <c r="Q52" t="s">
        <v>160</v>
      </c>
      <c r="S52" t="s">
        <v>2525</v>
      </c>
      <c r="U52" t="s">
        <v>2617</v>
      </c>
      <c r="V52" t="s">
        <v>55</v>
      </c>
      <c r="W52" t="s">
        <v>243</v>
      </c>
      <c r="Y52" t="s">
        <v>30</v>
      </c>
      <c r="Z52" t="s">
        <v>30</v>
      </c>
      <c r="AA52" t="str">
        <f>IF(NOT("https://maps.app.goo.gl/vHFYZFYjc8xbosCz7" = ""), HYPERLINK("https://maps.app.goo.gl/vHFYZFYjc8xbosCz7", "موقع"), "")</f>
        <v>موقع</v>
      </c>
    </row>
    <row r="53" spans="1:27" x14ac:dyDescent="0.3">
      <c r="A53" t="s">
        <v>244</v>
      </c>
      <c r="B53" s="8">
        <v>46282.623217592591</v>
      </c>
      <c r="C53" t="s">
        <v>2</v>
      </c>
      <c r="D53" t="s">
        <v>59</v>
      </c>
      <c r="E53" t="s">
        <v>247</v>
      </c>
      <c r="F53" t="s">
        <v>2618</v>
      </c>
      <c r="G53" t="s">
        <v>21</v>
      </c>
      <c r="H53" t="s">
        <v>23</v>
      </c>
      <c r="I53" t="s">
        <v>24</v>
      </c>
      <c r="J53" t="s">
        <v>245</v>
      </c>
      <c r="K53" t="s">
        <v>246</v>
      </c>
      <c r="L53">
        <v>101</v>
      </c>
      <c r="M53">
        <v>374</v>
      </c>
      <c r="N53">
        <v>49000</v>
      </c>
      <c r="O53">
        <v>32.491194</v>
      </c>
      <c r="P53">
        <v>35.898000000000003</v>
      </c>
      <c r="Q53" t="s">
        <v>160</v>
      </c>
      <c r="R53" t="s">
        <v>2619</v>
      </c>
      <c r="S53" t="s">
        <v>2579</v>
      </c>
      <c r="U53" t="s">
        <v>2620</v>
      </c>
      <c r="V53" t="s">
        <v>28</v>
      </c>
      <c r="W53" t="s">
        <v>248</v>
      </c>
      <c r="Y53" t="s">
        <v>30</v>
      </c>
      <c r="Z53" t="str">
        <f>IF(NOT("https://truemarkets3d.net/3d-virtual-tour/housingbank-realestate/phase3/aq-re-100295/index.html" = ""), HYPERLINK("https://truemarkets3d.net/3d-virtual-tour/housingbank-realestate/phase3/aq-re-100295/index.html", "جولة"), "")</f>
        <v>جولة</v>
      </c>
      <c r="AA53" t="str">
        <f>IF(NOT("https://maps.app.goo.gl/7D3fSWHtsXY6KeNr8" = ""), HYPERLINK("https://maps.app.goo.gl/7D3fSWHtsXY6KeNr8", "موقع"), "")</f>
        <v>موقع</v>
      </c>
    </row>
    <row r="54" spans="1:27" x14ac:dyDescent="0.3">
      <c r="A54" t="s">
        <v>249</v>
      </c>
      <c r="B54" s="8">
        <v>46282.623217592591</v>
      </c>
      <c r="C54" t="s">
        <v>2</v>
      </c>
      <c r="D54" t="s">
        <v>59</v>
      </c>
      <c r="E54" t="s">
        <v>114</v>
      </c>
      <c r="F54" t="s">
        <v>2621</v>
      </c>
      <c r="G54" t="s">
        <v>21</v>
      </c>
      <c r="H54" t="s">
        <v>23</v>
      </c>
      <c r="I54" t="s">
        <v>24</v>
      </c>
      <c r="J54" t="s">
        <v>112</v>
      </c>
      <c r="K54" t="s">
        <v>250</v>
      </c>
      <c r="L54">
        <v>111</v>
      </c>
      <c r="M54">
        <v>185</v>
      </c>
      <c r="N54">
        <v>52000</v>
      </c>
      <c r="O54">
        <v>32.495443999999999</v>
      </c>
      <c r="P54">
        <v>35.855417000000003</v>
      </c>
      <c r="Q54" t="s">
        <v>251</v>
      </c>
      <c r="S54" t="s">
        <v>2525</v>
      </c>
      <c r="U54" t="s">
        <v>2622</v>
      </c>
      <c r="V54" t="s">
        <v>43</v>
      </c>
      <c r="W54" t="s">
        <v>252</v>
      </c>
      <c r="Y54" t="s">
        <v>30</v>
      </c>
      <c r="Z54" t="s">
        <v>30</v>
      </c>
      <c r="AA54" t="str">
        <f>IF(NOT("https://maps.app.goo.gl/pHxLANYNf5vhEM3m9" = ""), HYPERLINK("https://maps.app.goo.gl/pHxLANYNf5vhEM3m9", "موقع"), "")</f>
        <v>موقع</v>
      </c>
    </row>
    <row r="55" spans="1:27" x14ac:dyDescent="0.3">
      <c r="A55" t="s">
        <v>253</v>
      </c>
      <c r="B55" s="8">
        <v>46282.623217592591</v>
      </c>
      <c r="C55" t="s">
        <v>2</v>
      </c>
      <c r="D55" t="s">
        <v>59</v>
      </c>
      <c r="E55" t="s">
        <v>254</v>
      </c>
      <c r="F55" t="s">
        <v>2623</v>
      </c>
      <c r="G55" t="s">
        <v>21</v>
      </c>
      <c r="H55" t="s">
        <v>23</v>
      </c>
      <c r="I55" t="s">
        <v>24</v>
      </c>
      <c r="J55" t="s">
        <v>25</v>
      </c>
      <c r="K55" t="s">
        <v>224</v>
      </c>
      <c r="L55">
        <v>132</v>
      </c>
      <c r="M55">
        <v>842</v>
      </c>
      <c r="N55">
        <v>52000</v>
      </c>
      <c r="O55">
        <v>32.539028000000002</v>
      </c>
      <c r="P55">
        <v>35.867972000000002</v>
      </c>
      <c r="Q55" t="s">
        <v>255</v>
      </c>
      <c r="R55" t="s">
        <v>2624</v>
      </c>
      <c r="S55" t="s">
        <v>2579</v>
      </c>
      <c r="U55" t="s">
        <v>2625</v>
      </c>
      <c r="V55" t="s">
        <v>55</v>
      </c>
      <c r="W55" t="s">
        <v>256</v>
      </c>
      <c r="X55" t="s">
        <v>2626</v>
      </c>
      <c r="Y55" t="str">
        <f>IF(NOT("https://youtu.be/beTr7DsGWVw" = ""), HYPERLINK("https://youtu.be/beTr7DsGWVw", "فيديو"), "")</f>
        <v>فيديو</v>
      </c>
      <c r="Z55" t="str">
        <f>IF(NOT("https://truemarkets3d.net/3d-virtual-tour/housingbank-realestate/phase3/aq-re-100661/index.html" = ""), HYPERLINK("https://truemarkets3d.net/3d-virtual-tour/housingbank-realestate/phase3/aq-re-100661/index.html", "جولة"), "")</f>
        <v>جولة</v>
      </c>
      <c r="AA55" t="str">
        <f>IF(NOT("https://maps.app.goo.gl/pGAVMdEPoCjS4GaAA" = ""), HYPERLINK("https://maps.app.goo.gl/pGAVMdEPoCjS4GaAA", "موقع"), "")</f>
        <v>موقع</v>
      </c>
    </row>
    <row r="56" spans="1:27" x14ac:dyDescent="0.3">
      <c r="A56" t="s">
        <v>257</v>
      </c>
      <c r="B56" s="8">
        <v>46282.623217592591</v>
      </c>
      <c r="C56" t="s">
        <v>2</v>
      </c>
      <c r="D56" t="s">
        <v>59</v>
      </c>
      <c r="E56" t="s">
        <v>190</v>
      </c>
      <c r="F56" t="s">
        <v>2627</v>
      </c>
      <c r="G56" t="s">
        <v>21</v>
      </c>
      <c r="H56" t="s">
        <v>23</v>
      </c>
      <c r="I56" t="s">
        <v>24</v>
      </c>
      <c r="J56" t="s">
        <v>25</v>
      </c>
      <c r="K56" t="s">
        <v>189</v>
      </c>
      <c r="L56">
        <v>102</v>
      </c>
      <c r="M56">
        <v>454</v>
      </c>
      <c r="N56">
        <v>58000</v>
      </c>
      <c r="O56">
        <v>32.563583000000001</v>
      </c>
      <c r="P56">
        <v>35.875222000000001</v>
      </c>
      <c r="Q56" t="s">
        <v>258</v>
      </c>
      <c r="S56" t="s">
        <v>2525</v>
      </c>
      <c r="U56" t="s">
        <v>2628</v>
      </c>
      <c r="V56" t="s">
        <v>28</v>
      </c>
      <c r="W56" t="s">
        <v>259</v>
      </c>
      <c r="Y56" t="s">
        <v>30</v>
      </c>
      <c r="Z56" t="s">
        <v>30</v>
      </c>
      <c r="AA56" t="str">
        <f>IF(NOT("https://maps.app.goo.gl/2GDfBetfSssmAttz7" = ""), HYPERLINK("https://maps.app.goo.gl/2GDfBetfSssmAttz7", "موقع"), "")</f>
        <v>موقع</v>
      </c>
    </row>
    <row r="57" spans="1:27" x14ac:dyDescent="0.3">
      <c r="A57" t="s">
        <v>260</v>
      </c>
      <c r="B57" s="8">
        <v>46282.623217592591</v>
      </c>
      <c r="C57" t="s">
        <v>2</v>
      </c>
      <c r="D57" t="s">
        <v>59</v>
      </c>
      <c r="E57" t="s">
        <v>154</v>
      </c>
      <c r="F57" t="s">
        <v>2629</v>
      </c>
      <c r="G57" t="s">
        <v>21</v>
      </c>
      <c r="H57" t="s">
        <v>23</v>
      </c>
      <c r="I57" t="s">
        <v>24</v>
      </c>
      <c r="J57" t="s">
        <v>214</v>
      </c>
      <c r="K57" t="s">
        <v>261</v>
      </c>
      <c r="L57">
        <v>102</v>
      </c>
      <c r="M57">
        <v>744</v>
      </c>
      <c r="N57">
        <v>94000</v>
      </c>
      <c r="O57">
        <v>32.536833000000001</v>
      </c>
      <c r="P57">
        <v>35.835583</v>
      </c>
      <c r="Q57" t="s">
        <v>262</v>
      </c>
      <c r="R57" t="s">
        <v>2630</v>
      </c>
      <c r="S57" t="s">
        <v>2579</v>
      </c>
      <c r="U57" t="s">
        <v>2631</v>
      </c>
      <c r="V57" t="s">
        <v>28</v>
      </c>
      <c r="W57" t="s">
        <v>263</v>
      </c>
      <c r="X57" t="s">
        <v>2632</v>
      </c>
      <c r="Y57" t="str">
        <f>IF(NOT("https://youtu.be/D8Y4KRclEZE" = ""), HYPERLINK("https://youtu.be/D8Y4KRclEZE", "فيديو"), "")</f>
        <v>فيديو</v>
      </c>
      <c r="Z57" t="str">
        <f>IF(NOT("https://truemarkets3d.net/3d-virtual-tour/housingbank-realestate/phase3/aq-re-100859/index.html" = ""), HYPERLINK("https://truemarkets3d.net/3d-virtual-tour/housingbank-realestate/phase3/aq-re-100859/index.html", "جولة"), "")</f>
        <v>جولة</v>
      </c>
      <c r="AA57" t="str">
        <f>IF(NOT("https://maps.app.goo.gl/zSEA5XpME1wWKdWV7" = ""), HYPERLINK("https://maps.app.goo.gl/zSEA5XpME1wWKdWV7", "موقع"), "")</f>
        <v>موقع</v>
      </c>
    </row>
    <row r="58" spans="1:27" x14ac:dyDescent="0.3">
      <c r="A58" t="s">
        <v>264</v>
      </c>
      <c r="B58" s="8">
        <v>46282.623217592591</v>
      </c>
      <c r="C58" t="s">
        <v>2</v>
      </c>
      <c r="D58" t="s">
        <v>59</v>
      </c>
      <c r="E58" t="s">
        <v>114</v>
      </c>
      <c r="F58" t="s">
        <v>2633</v>
      </c>
      <c r="G58" t="s">
        <v>21</v>
      </c>
      <c r="H58" t="s">
        <v>23</v>
      </c>
      <c r="I58" t="s">
        <v>24</v>
      </c>
      <c r="J58" t="s">
        <v>112</v>
      </c>
      <c r="K58" t="s">
        <v>265</v>
      </c>
      <c r="L58">
        <v>101</v>
      </c>
      <c r="M58">
        <v>520</v>
      </c>
      <c r="N58">
        <v>138000</v>
      </c>
      <c r="O58">
        <v>32.529667000000003</v>
      </c>
      <c r="P58">
        <v>35.869472000000002</v>
      </c>
      <c r="Q58" t="s">
        <v>266</v>
      </c>
      <c r="S58" t="s">
        <v>2525</v>
      </c>
      <c r="U58" t="s">
        <v>2634</v>
      </c>
      <c r="V58" t="s">
        <v>28</v>
      </c>
      <c r="W58" t="s">
        <v>267</v>
      </c>
      <c r="Y58" t="s">
        <v>30</v>
      </c>
      <c r="Z58" t="s">
        <v>30</v>
      </c>
      <c r="AA58" t="str">
        <f>IF(NOT("https://maps.app.goo.gl/2w2uVt4FemXAGDpU8" = ""), HYPERLINK("https://maps.app.goo.gl/2w2uVt4FemXAGDpU8", "موقع"), "")</f>
        <v>موقع</v>
      </c>
    </row>
    <row r="59" spans="1:27" x14ac:dyDescent="0.3">
      <c r="A59" t="s">
        <v>268</v>
      </c>
      <c r="B59" s="8">
        <v>46282.623217592591</v>
      </c>
      <c r="C59" t="s">
        <v>2</v>
      </c>
      <c r="D59" t="s">
        <v>59</v>
      </c>
      <c r="E59" t="s">
        <v>194</v>
      </c>
      <c r="F59" t="s">
        <v>2635</v>
      </c>
      <c r="G59" t="s">
        <v>21</v>
      </c>
      <c r="H59" t="s">
        <v>23</v>
      </c>
      <c r="I59" t="s">
        <v>24</v>
      </c>
      <c r="J59" t="s">
        <v>25</v>
      </c>
      <c r="K59" t="s">
        <v>207</v>
      </c>
      <c r="L59">
        <v>103</v>
      </c>
      <c r="M59">
        <v>692</v>
      </c>
      <c r="O59">
        <v>32.543638999999999</v>
      </c>
      <c r="P59">
        <v>35.841138999999998</v>
      </c>
      <c r="Q59" t="s">
        <v>136</v>
      </c>
      <c r="S59" t="s">
        <v>2525</v>
      </c>
      <c r="U59" t="s">
        <v>2636</v>
      </c>
      <c r="V59" t="s">
        <v>28</v>
      </c>
      <c r="Y59" t="s">
        <v>30</v>
      </c>
      <c r="Z59" t="s">
        <v>30</v>
      </c>
      <c r="AA59" t="str">
        <f>IF(NOT("https://maps.app.goo.gl/jaBBNXgFKy6muosL9" = ""), HYPERLINK("https://maps.app.goo.gl/jaBBNXgFKy6muosL9", "موقع"), "")</f>
        <v>موقع</v>
      </c>
    </row>
    <row r="60" spans="1:27" x14ac:dyDescent="0.3">
      <c r="A60" t="s">
        <v>269</v>
      </c>
      <c r="B60" s="8">
        <v>46282.623217592591</v>
      </c>
      <c r="C60" t="s">
        <v>2</v>
      </c>
      <c r="D60" t="s">
        <v>59</v>
      </c>
      <c r="E60" t="s">
        <v>271</v>
      </c>
      <c r="F60" t="s">
        <v>2637</v>
      </c>
      <c r="G60" t="s">
        <v>21</v>
      </c>
      <c r="H60" t="s">
        <v>23</v>
      </c>
      <c r="I60" t="s">
        <v>24</v>
      </c>
      <c r="J60" t="s">
        <v>25</v>
      </c>
      <c r="K60" t="s">
        <v>270</v>
      </c>
      <c r="L60">
        <v>211</v>
      </c>
      <c r="M60">
        <v>1594</v>
      </c>
      <c r="O60">
        <v>32.559389000000003</v>
      </c>
      <c r="P60">
        <v>35.854111000000003</v>
      </c>
      <c r="Q60" t="s">
        <v>272</v>
      </c>
      <c r="S60" t="s">
        <v>2525</v>
      </c>
      <c r="U60" t="s">
        <v>2638</v>
      </c>
      <c r="V60" t="s">
        <v>43</v>
      </c>
      <c r="Y60" t="s">
        <v>30</v>
      </c>
      <c r="Z60" t="s">
        <v>30</v>
      </c>
      <c r="AA60" t="str">
        <f>IF(NOT("https://maps.app.goo.gl/Z8sTUpKZ7wExacCM9" = ""), HYPERLINK("https://maps.app.goo.gl/Z8sTUpKZ7wExacCM9", "موقع"), "")</f>
        <v>موقع</v>
      </c>
    </row>
    <row r="61" spans="1:27" x14ac:dyDescent="0.3">
      <c r="A61" t="s">
        <v>273</v>
      </c>
      <c r="B61" s="8">
        <v>46282.623217592591</v>
      </c>
      <c r="C61" t="s">
        <v>2</v>
      </c>
      <c r="D61" t="s">
        <v>59</v>
      </c>
      <c r="E61" t="s">
        <v>190</v>
      </c>
      <c r="F61" t="s">
        <v>2639</v>
      </c>
      <c r="G61" t="s">
        <v>21</v>
      </c>
      <c r="H61" t="s">
        <v>23</v>
      </c>
      <c r="I61" t="s">
        <v>24</v>
      </c>
      <c r="J61" t="s">
        <v>25</v>
      </c>
      <c r="K61" t="s">
        <v>232</v>
      </c>
      <c r="L61">
        <v>122</v>
      </c>
      <c r="M61">
        <v>1062</v>
      </c>
      <c r="O61">
        <v>32.553249999999998</v>
      </c>
      <c r="P61">
        <v>35.868943999999999</v>
      </c>
      <c r="Q61" t="s">
        <v>274</v>
      </c>
      <c r="S61" t="s">
        <v>2525</v>
      </c>
      <c r="U61" t="s">
        <v>2640</v>
      </c>
      <c r="V61" t="s">
        <v>73</v>
      </c>
      <c r="Y61" t="s">
        <v>30</v>
      </c>
      <c r="Z61" t="s">
        <v>30</v>
      </c>
      <c r="AA61" t="str">
        <f>IF(NOT("https://maps.app.goo.gl/BcofGf2LbfuPV7aG7" = ""), HYPERLINK("https://maps.app.goo.gl/BcofGf2LbfuPV7aG7", "موقع"), "")</f>
        <v>موقع</v>
      </c>
    </row>
    <row r="62" spans="1:27" x14ac:dyDescent="0.3">
      <c r="A62" t="s">
        <v>275</v>
      </c>
      <c r="B62" s="8">
        <v>46282.623217592591</v>
      </c>
      <c r="C62" t="s">
        <v>2</v>
      </c>
      <c r="D62" t="s">
        <v>59</v>
      </c>
      <c r="E62" t="s">
        <v>62</v>
      </c>
      <c r="F62" t="s">
        <v>2641</v>
      </c>
      <c r="G62" t="s">
        <v>21</v>
      </c>
      <c r="H62" t="s">
        <v>23</v>
      </c>
      <c r="I62" t="s">
        <v>24</v>
      </c>
      <c r="J62" t="s">
        <v>60</v>
      </c>
      <c r="K62" t="s">
        <v>276</v>
      </c>
      <c r="L62">
        <v>102</v>
      </c>
      <c r="M62">
        <v>539</v>
      </c>
      <c r="O62">
        <v>32.581806</v>
      </c>
      <c r="P62">
        <v>35.864333000000002</v>
      </c>
      <c r="Q62" t="s">
        <v>277</v>
      </c>
      <c r="S62" t="s">
        <v>2525</v>
      </c>
      <c r="U62" t="s">
        <v>2642</v>
      </c>
      <c r="V62" t="s">
        <v>28</v>
      </c>
      <c r="Y62" t="s">
        <v>30</v>
      </c>
      <c r="Z62" t="s">
        <v>30</v>
      </c>
      <c r="AA62" t="str">
        <f>IF(NOT("https://maps.app.goo.gl/MgPEvYNVbhj5CJcv5" = ""), HYPERLINK("https://maps.app.goo.gl/MgPEvYNVbhj5CJcv5", "موقع"), "")</f>
        <v>موقع</v>
      </c>
    </row>
    <row r="63" spans="1:27" x14ac:dyDescent="0.3">
      <c r="A63" t="s">
        <v>278</v>
      </c>
      <c r="B63" s="8">
        <v>46282.623217592591</v>
      </c>
      <c r="C63" t="s">
        <v>2</v>
      </c>
      <c r="D63" t="s">
        <v>59</v>
      </c>
      <c r="F63" t="s">
        <v>2643</v>
      </c>
      <c r="G63" t="s">
        <v>21</v>
      </c>
      <c r="H63" t="s">
        <v>23</v>
      </c>
      <c r="I63" t="s">
        <v>24</v>
      </c>
      <c r="J63" t="s">
        <v>25</v>
      </c>
      <c r="K63" t="s">
        <v>163</v>
      </c>
      <c r="L63">
        <v>132</v>
      </c>
      <c r="M63">
        <v>1772</v>
      </c>
      <c r="Q63" t="s">
        <v>279</v>
      </c>
      <c r="S63" t="s">
        <v>2525</v>
      </c>
      <c r="Y63" t="s">
        <v>30</v>
      </c>
      <c r="Z63" t="s">
        <v>30</v>
      </c>
      <c r="AA63" t="s">
        <v>30</v>
      </c>
    </row>
    <row r="64" spans="1:27" x14ac:dyDescent="0.3">
      <c r="A64" t="s">
        <v>280</v>
      </c>
      <c r="B64" s="8">
        <v>46282.623217592591</v>
      </c>
      <c r="C64" t="s">
        <v>2</v>
      </c>
      <c r="D64" t="s">
        <v>59</v>
      </c>
      <c r="E64" t="s">
        <v>62</v>
      </c>
      <c r="F64" t="s">
        <v>2644</v>
      </c>
      <c r="G64" t="s">
        <v>21</v>
      </c>
      <c r="H64" t="s">
        <v>23</v>
      </c>
      <c r="I64" t="s">
        <v>24</v>
      </c>
      <c r="J64" t="s">
        <v>60</v>
      </c>
      <c r="K64" t="s">
        <v>281</v>
      </c>
      <c r="L64">
        <v>131</v>
      </c>
      <c r="M64">
        <v>258</v>
      </c>
      <c r="Q64" t="s">
        <v>282</v>
      </c>
      <c r="S64" t="s">
        <v>2525</v>
      </c>
      <c r="V64" t="s">
        <v>55</v>
      </c>
      <c r="Y64" t="s">
        <v>30</v>
      </c>
      <c r="Z64" t="s">
        <v>30</v>
      </c>
      <c r="AA64" t="s">
        <v>30</v>
      </c>
    </row>
    <row r="65" spans="1:27" x14ac:dyDescent="0.3">
      <c r="A65" t="s">
        <v>283</v>
      </c>
      <c r="B65" s="8">
        <v>46282.623217592591</v>
      </c>
      <c r="C65" t="s">
        <v>2</v>
      </c>
      <c r="D65" t="s">
        <v>59</v>
      </c>
      <c r="E65" t="s">
        <v>284</v>
      </c>
      <c r="F65" t="s">
        <v>2645</v>
      </c>
      <c r="G65" t="s">
        <v>21</v>
      </c>
      <c r="H65" t="s">
        <v>23</v>
      </c>
      <c r="I65" t="s">
        <v>24</v>
      </c>
      <c r="J65" t="s">
        <v>60</v>
      </c>
      <c r="K65" t="s">
        <v>281</v>
      </c>
      <c r="L65">
        <v>121</v>
      </c>
      <c r="M65">
        <v>258</v>
      </c>
      <c r="O65">
        <v>32.573166999999998</v>
      </c>
      <c r="P65">
        <v>35.832693999999996</v>
      </c>
      <c r="Q65" t="s">
        <v>282</v>
      </c>
      <c r="S65" t="s">
        <v>2525</v>
      </c>
      <c r="U65" t="s">
        <v>2646</v>
      </c>
      <c r="V65" t="s">
        <v>73</v>
      </c>
      <c r="Y65" t="s">
        <v>30</v>
      </c>
      <c r="Z65" t="s">
        <v>30</v>
      </c>
      <c r="AA65" t="str">
        <f>IF(NOT("https://maps.app.goo.gl/Wf8A3yQxUC3oMq2u5" = ""), HYPERLINK("https://maps.app.goo.gl/Wf8A3yQxUC3oMq2u5", "موقع"), "")</f>
        <v>موقع</v>
      </c>
    </row>
    <row r="66" spans="1:27" x14ac:dyDescent="0.3">
      <c r="A66" t="s">
        <v>285</v>
      </c>
      <c r="B66" s="8">
        <v>46282.623217592591</v>
      </c>
      <c r="C66" t="s">
        <v>2</v>
      </c>
      <c r="D66" t="s">
        <v>59</v>
      </c>
      <c r="F66" t="s">
        <v>2647</v>
      </c>
      <c r="G66" t="s">
        <v>21</v>
      </c>
      <c r="H66" t="s">
        <v>23</v>
      </c>
      <c r="I66" t="s">
        <v>24</v>
      </c>
      <c r="J66" t="s">
        <v>25</v>
      </c>
      <c r="K66" t="s">
        <v>153</v>
      </c>
      <c r="L66">
        <v>127</v>
      </c>
      <c r="M66">
        <v>1012</v>
      </c>
      <c r="Q66" t="s">
        <v>286</v>
      </c>
      <c r="S66" t="s">
        <v>2525</v>
      </c>
      <c r="Y66" t="s">
        <v>30</v>
      </c>
      <c r="Z66" t="s">
        <v>30</v>
      </c>
      <c r="AA66" t="s">
        <v>30</v>
      </c>
    </row>
    <row r="67" spans="1:27" x14ac:dyDescent="0.3">
      <c r="A67" t="s">
        <v>287</v>
      </c>
      <c r="B67" s="8">
        <v>46282.623217592591</v>
      </c>
      <c r="C67" t="s">
        <v>2</v>
      </c>
      <c r="D67" t="s">
        <v>59</v>
      </c>
      <c r="F67" t="s">
        <v>2648</v>
      </c>
      <c r="G67" t="s">
        <v>21</v>
      </c>
      <c r="H67" t="s">
        <v>23</v>
      </c>
      <c r="I67" t="s">
        <v>24</v>
      </c>
      <c r="J67" t="s">
        <v>245</v>
      </c>
      <c r="K67" t="s">
        <v>288</v>
      </c>
      <c r="L67">
        <v>-101</v>
      </c>
      <c r="M67">
        <v>946</v>
      </c>
      <c r="O67">
        <v>32.476278000000001</v>
      </c>
      <c r="P67">
        <v>35.895806</v>
      </c>
      <c r="Q67" t="s">
        <v>219</v>
      </c>
      <c r="S67" t="s">
        <v>2525</v>
      </c>
      <c r="U67" t="s">
        <v>2649</v>
      </c>
      <c r="V67" t="s">
        <v>33</v>
      </c>
      <c r="Y67" t="s">
        <v>30</v>
      </c>
      <c r="Z67" t="s">
        <v>30</v>
      </c>
      <c r="AA67" t="str">
        <f>IF(NOT("https://maps.app.goo.gl/m77Qvj7ZQxEDNmgr5" = ""), HYPERLINK("https://maps.app.goo.gl/m77Qvj7ZQxEDNmgr5", "موقع"), "")</f>
        <v>موقع</v>
      </c>
    </row>
    <row r="68" spans="1:27" x14ac:dyDescent="0.3">
      <c r="A68" t="s">
        <v>289</v>
      </c>
      <c r="B68" s="8">
        <v>46282.623217592591</v>
      </c>
      <c r="C68" t="s">
        <v>2</v>
      </c>
      <c r="D68" t="s">
        <v>59</v>
      </c>
      <c r="E68" t="s">
        <v>291</v>
      </c>
      <c r="F68" t="s">
        <v>2650</v>
      </c>
      <c r="G68" t="s">
        <v>21</v>
      </c>
      <c r="H68" t="s">
        <v>23</v>
      </c>
      <c r="I68" t="s">
        <v>24</v>
      </c>
      <c r="J68" t="s">
        <v>60</v>
      </c>
      <c r="K68" t="s">
        <v>290</v>
      </c>
      <c r="L68">
        <v>132</v>
      </c>
      <c r="M68">
        <v>938</v>
      </c>
      <c r="O68">
        <v>32.568860999999998</v>
      </c>
      <c r="P68">
        <v>35.837888999999997</v>
      </c>
      <c r="Q68" t="s">
        <v>292</v>
      </c>
      <c r="S68" t="s">
        <v>2525</v>
      </c>
      <c r="U68" t="s">
        <v>2651</v>
      </c>
      <c r="V68" t="s">
        <v>55</v>
      </c>
      <c r="Y68" t="s">
        <v>30</v>
      </c>
      <c r="Z68" t="s">
        <v>30</v>
      </c>
      <c r="AA68" t="str">
        <f>IF(NOT("https://maps.app.goo.gl/CywpcXF2vXUGb5jy8" = ""), HYPERLINK("https://maps.app.goo.gl/CywpcXF2vXUGb5jy8", "موقع"), "")</f>
        <v>موقع</v>
      </c>
    </row>
    <row r="69" spans="1:27" x14ac:dyDescent="0.3">
      <c r="A69" t="s">
        <v>293</v>
      </c>
      <c r="B69" s="8">
        <v>46282.623217592591</v>
      </c>
      <c r="C69" t="s">
        <v>2</v>
      </c>
      <c r="D69" t="s">
        <v>59</v>
      </c>
      <c r="E69" t="s">
        <v>62</v>
      </c>
      <c r="F69" t="s">
        <v>2652</v>
      </c>
      <c r="G69" t="s">
        <v>21</v>
      </c>
      <c r="H69" t="s">
        <v>23</v>
      </c>
      <c r="I69" t="s">
        <v>24</v>
      </c>
      <c r="J69" t="s">
        <v>60</v>
      </c>
      <c r="K69" t="s">
        <v>276</v>
      </c>
      <c r="L69">
        <v>101</v>
      </c>
      <c r="M69">
        <v>849</v>
      </c>
      <c r="O69">
        <v>32.573611</v>
      </c>
      <c r="P69">
        <v>35.861750000000001</v>
      </c>
      <c r="Q69" t="s">
        <v>294</v>
      </c>
      <c r="S69" t="s">
        <v>2525</v>
      </c>
      <c r="U69" t="s">
        <v>2653</v>
      </c>
      <c r="V69" t="s">
        <v>28</v>
      </c>
      <c r="Y69" t="s">
        <v>30</v>
      </c>
      <c r="Z69" t="s">
        <v>30</v>
      </c>
      <c r="AA69" t="str">
        <f>IF(NOT("https://maps.app.goo.gl/Snm4Ve9DqVGCaGdZ8" = ""), HYPERLINK("https://maps.app.goo.gl/Snm4Ve9DqVGCaGdZ8", "موقع"), "")</f>
        <v>موقع</v>
      </c>
    </row>
    <row r="70" spans="1:27" x14ac:dyDescent="0.3">
      <c r="A70" t="s">
        <v>295</v>
      </c>
      <c r="B70" s="8">
        <v>46282.623217592591</v>
      </c>
      <c r="C70" t="s">
        <v>2</v>
      </c>
      <c r="D70" t="s">
        <v>297</v>
      </c>
      <c r="E70" t="s">
        <v>300</v>
      </c>
      <c r="F70" t="s">
        <v>2654</v>
      </c>
      <c r="G70" t="s">
        <v>296</v>
      </c>
      <c r="H70" t="s">
        <v>23</v>
      </c>
      <c r="I70" t="s">
        <v>88</v>
      </c>
      <c r="J70" t="s">
        <v>298</v>
      </c>
      <c r="K70" t="s">
        <v>299</v>
      </c>
      <c r="L70">
        <v>0</v>
      </c>
      <c r="M70">
        <v>452</v>
      </c>
      <c r="N70">
        <v>116000</v>
      </c>
      <c r="O70">
        <v>32.527500000000003</v>
      </c>
      <c r="P70">
        <v>35.601917</v>
      </c>
      <c r="Q70" t="s">
        <v>301</v>
      </c>
      <c r="S70" t="s">
        <v>2525</v>
      </c>
      <c r="U70" t="s">
        <v>2655</v>
      </c>
      <c r="W70" t="s">
        <v>302</v>
      </c>
      <c r="Y70" t="s">
        <v>30</v>
      </c>
      <c r="Z70" t="s">
        <v>30</v>
      </c>
      <c r="AA70" t="str">
        <f>IF(NOT("https://maps.app.goo.gl/8Ujsip4rf9woKEHE7" = ""), HYPERLINK("https://maps.app.goo.gl/8Ujsip4rf9woKEHE7", "موقع"), "")</f>
        <v>موقع</v>
      </c>
    </row>
    <row r="71" spans="1:27" x14ac:dyDescent="0.3">
      <c r="A71" t="s">
        <v>303</v>
      </c>
      <c r="B71" s="8">
        <v>46282.623217592591</v>
      </c>
      <c r="C71" t="s">
        <v>2</v>
      </c>
      <c r="D71" t="s">
        <v>297</v>
      </c>
      <c r="E71" t="s">
        <v>306</v>
      </c>
      <c r="F71" t="s">
        <v>2656</v>
      </c>
      <c r="G71" t="s">
        <v>296</v>
      </c>
      <c r="H71" t="s">
        <v>23</v>
      </c>
      <c r="I71" t="s">
        <v>182</v>
      </c>
      <c r="J71" t="s">
        <v>304</v>
      </c>
      <c r="K71" t="s">
        <v>305</v>
      </c>
      <c r="L71">
        <v>0</v>
      </c>
      <c r="M71">
        <v>222</v>
      </c>
      <c r="N71">
        <v>139000</v>
      </c>
      <c r="O71">
        <v>32.547443999999999</v>
      </c>
      <c r="P71">
        <v>36.004806000000002</v>
      </c>
      <c r="Q71" t="s">
        <v>307</v>
      </c>
      <c r="S71" t="s">
        <v>2525</v>
      </c>
      <c r="U71" t="s">
        <v>2657</v>
      </c>
      <c r="W71" t="s">
        <v>308</v>
      </c>
      <c r="Y71" t="s">
        <v>30</v>
      </c>
      <c r="Z71" t="s">
        <v>30</v>
      </c>
      <c r="AA71" t="str">
        <f>IF(NOT("https://maps.app.goo.gl/VBdXXByHUnzCPgCt9" = ""), HYPERLINK("https://maps.app.goo.gl/VBdXXByHUnzCPgCt9", "موقع"), "")</f>
        <v>موقع</v>
      </c>
    </row>
    <row r="72" spans="1:27" x14ac:dyDescent="0.3">
      <c r="A72" t="s">
        <v>309</v>
      </c>
      <c r="B72" s="8">
        <v>46282.623217592591</v>
      </c>
      <c r="C72" t="s">
        <v>2</v>
      </c>
      <c r="D72" t="s">
        <v>297</v>
      </c>
      <c r="E72" t="s">
        <v>311</v>
      </c>
      <c r="F72" t="s">
        <v>2658</v>
      </c>
      <c r="G72" t="s">
        <v>296</v>
      </c>
      <c r="H72" t="s">
        <v>23</v>
      </c>
      <c r="I72" t="s">
        <v>24</v>
      </c>
      <c r="J72" t="s">
        <v>60</v>
      </c>
      <c r="K72" t="s">
        <v>310</v>
      </c>
      <c r="L72">
        <v>0</v>
      </c>
      <c r="M72">
        <v>1137</v>
      </c>
      <c r="N72">
        <v>482000</v>
      </c>
      <c r="O72">
        <v>32.570082999999997</v>
      </c>
      <c r="P72">
        <v>35.860083000000003</v>
      </c>
      <c r="Q72" t="s">
        <v>312</v>
      </c>
      <c r="S72" t="s">
        <v>2525</v>
      </c>
      <c r="U72" t="s">
        <v>2659</v>
      </c>
      <c r="W72" t="s">
        <v>313</v>
      </c>
      <c r="Y72" t="s">
        <v>30</v>
      </c>
      <c r="Z72" t="s">
        <v>30</v>
      </c>
      <c r="AA72" t="str">
        <f>IF(NOT("https://maps.app.goo.gl/ukgkGoMS5VNkiF4s5" = ""), HYPERLINK("https://maps.app.goo.gl/ukgkGoMS5VNkiF4s5", "موقع"), "")</f>
        <v>موقع</v>
      </c>
    </row>
    <row r="73" spans="1:27" x14ac:dyDescent="0.3">
      <c r="A73" t="s">
        <v>314</v>
      </c>
      <c r="B73" s="8">
        <v>46282.623217592591</v>
      </c>
      <c r="C73" t="s">
        <v>2</v>
      </c>
      <c r="D73" t="s">
        <v>315</v>
      </c>
      <c r="E73" t="s">
        <v>317</v>
      </c>
      <c r="F73" t="s">
        <v>2660</v>
      </c>
      <c r="G73" t="s">
        <v>296</v>
      </c>
      <c r="H73" t="s">
        <v>23</v>
      </c>
      <c r="I73" t="s">
        <v>124</v>
      </c>
      <c r="J73" t="s">
        <v>316</v>
      </c>
      <c r="K73" t="s">
        <v>119</v>
      </c>
      <c r="L73">
        <v>0</v>
      </c>
      <c r="M73">
        <v>714</v>
      </c>
      <c r="N73">
        <v>9000</v>
      </c>
      <c r="O73">
        <v>32.662360999999997</v>
      </c>
      <c r="P73">
        <v>35.783999999999999</v>
      </c>
      <c r="Q73" t="s">
        <v>318</v>
      </c>
      <c r="S73" t="s">
        <v>2525</v>
      </c>
      <c r="U73" t="s">
        <v>2661</v>
      </c>
      <c r="W73" t="s">
        <v>319</v>
      </c>
      <c r="Y73" t="s">
        <v>30</v>
      </c>
      <c r="Z73" t="s">
        <v>30</v>
      </c>
      <c r="AA73" t="str">
        <f>IF(NOT("https://maps.app.goo.gl/2UhYhAw9hhAgwC5T9" = ""), HYPERLINK("https://maps.app.goo.gl/2UhYhAw9hhAgwC5T9", "موقع"), "")</f>
        <v>موقع</v>
      </c>
    </row>
    <row r="74" spans="1:27" x14ac:dyDescent="0.3">
      <c r="A74" t="s">
        <v>320</v>
      </c>
      <c r="B74" s="8">
        <v>46282.623217592591</v>
      </c>
      <c r="C74" t="s">
        <v>2</v>
      </c>
      <c r="D74" t="s">
        <v>315</v>
      </c>
      <c r="E74" t="s">
        <v>300</v>
      </c>
      <c r="F74" t="s">
        <v>2662</v>
      </c>
      <c r="G74" t="s">
        <v>296</v>
      </c>
      <c r="H74" t="s">
        <v>23</v>
      </c>
      <c r="I74" t="s">
        <v>88</v>
      </c>
      <c r="J74" t="s">
        <v>298</v>
      </c>
      <c r="K74" t="s">
        <v>299</v>
      </c>
      <c r="L74">
        <v>0</v>
      </c>
      <c r="M74">
        <v>178</v>
      </c>
      <c r="N74">
        <v>17000</v>
      </c>
      <c r="O74">
        <v>32.534500000000001</v>
      </c>
      <c r="P74">
        <v>35.608556</v>
      </c>
      <c r="Q74" t="s">
        <v>321</v>
      </c>
      <c r="S74" t="s">
        <v>2525</v>
      </c>
      <c r="U74" t="s">
        <v>2663</v>
      </c>
      <c r="W74" t="s">
        <v>322</v>
      </c>
      <c r="Y74" t="s">
        <v>30</v>
      </c>
      <c r="Z74" t="s">
        <v>30</v>
      </c>
      <c r="AA74" t="str">
        <f>IF(NOT("https://maps.app.goo.gl/7rGV13aQR42sGvbR8" = ""), HYPERLINK("https://maps.app.goo.gl/7rGV13aQR42sGvbR8", "موقع"), "")</f>
        <v>موقع</v>
      </c>
    </row>
    <row r="75" spans="1:27" x14ac:dyDescent="0.3">
      <c r="A75" t="s">
        <v>323</v>
      </c>
      <c r="B75" s="8">
        <v>46282.623217592591</v>
      </c>
      <c r="C75" t="s">
        <v>2</v>
      </c>
      <c r="D75" t="s">
        <v>315</v>
      </c>
      <c r="E75" t="s">
        <v>325</v>
      </c>
      <c r="F75" t="s">
        <v>2664</v>
      </c>
      <c r="G75" t="s">
        <v>296</v>
      </c>
      <c r="H75" t="s">
        <v>23</v>
      </c>
      <c r="I75" t="s">
        <v>24</v>
      </c>
      <c r="J75" t="s">
        <v>324</v>
      </c>
      <c r="K75" t="s">
        <v>119</v>
      </c>
      <c r="L75">
        <v>111</v>
      </c>
      <c r="M75">
        <v>706</v>
      </c>
      <c r="N75">
        <v>18000</v>
      </c>
      <c r="Q75" t="s">
        <v>294</v>
      </c>
      <c r="S75" t="s">
        <v>2525</v>
      </c>
      <c r="W75" t="s">
        <v>326</v>
      </c>
      <c r="Y75" t="s">
        <v>30</v>
      </c>
      <c r="Z75" t="s">
        <v>30</v>
      </c>
      <c r="AA75" t="s">
        <v>30</v>
      </c>
    </row>
    <row r="76" spans="1:27" x14ac:dyDescent="0.3">
      <c r="A76" t="s">
        <v>327</v>
      </c>
      <c r="B76" s="8">
        <v>46282.623217592591</v>
      </c>
      <c r="C76" t="s">
        <v>2</v>
      </c>
      <c r="D76" t="s">
        <v>315</v>
      </c>
      <c r="E76" t="s">
        <v>54</v>
      </c>
      <c r="F76" t="s">
        <v>2665</v>
      </c>
      <c r="G76" t="s">
        <v>296</v>
      </c>
      <c r="H76" t="s">
        <v>23</v>
      </c>
      <c r="I76" t="s">
        <v>51</v>
      </c>
      <c r="J76" t="s">
        <v>328</v>
      </c>
      <c r="K76" t="s">
        <v>119</v>
      </c>
      <c r="L76">
        <v>0</v>
      </c>
      <c r="M76">
        <v>728</v>
      </c>
      <c r="N76">
        <v>18000</v>
      </c>
      <c r="O76">
        <v>32.509110999999997</v>
      </c>
      <c r="P76">
        <v>35.731028000000002</v>
      </c>
      <c r="Q76" t="s">
        <v>329</v>
      </c>
      <c r="S76" t="s">
        <v>2525</v>
      </c>
      <c r="U76" t="s">
        <v>2666</v>
      </c>
      <c r="W76" t="s">
        <v>330</v>
      </c>
      <c r="Y76" t="s">
        <v>30</v>
      </c>
      <c r="Z76" t="s">
        <v>30</v>
      </c>
      <c r="AA76" t="str">
        <f>IF(NOT("https://maps.app.goo.gl/GhUogGQa5hb9EAU99" = ""), HYPERLINK("https://maps.app.goo.gl/GhUogGQa5hb9EAU99", "موقع"), "")</f>
        <v>موقع</v>
      </c>
    </row>
    <row r="77" spans="1:27" x14ac:dyDescent="0.3">
      <c r="A77" t="s">
        <v>331</v>
      </c>
      <c r="B77" s="8">
        <v>46282.623217592591</v>
      </c>
      <c r="C77" t="s">
        <v>2</v>
      </c>
      <c r="D77" t="s">
        <v>315</v>
      </c>
      <c r="E77" t="s">
        <v>334</v>
      </c>
      <c r="F77" t="s">
        <v>2667</v>
      </c>
      <c r="G77" t="s">
        <v>296</v>
      </c>
      <c r="H77" t="s">
        <v>23</v>
      </c>
      <c r="I77" t="s">
        <v>88</v>
      </c>
      <c r="J77" t="s">
        <v>332</v>
      </c>
      <c r="K77" t="s">
        <v>333</v>
      </c>
      <c r="L77">
        <v>0</v>
      </c>
      <c r="M77">
        <v>94</v>
      </c>
      <c r="N77">
        <v>18000</v>
      </c>
      <c r="O77">
        <v>32.315972000000002</v>
      </c>
      <c r="P77">
        <v>35.584277999999998</v>
      </c>
      <c r="Q77" t="s">
        <v>335</v>
      </c>
      <c r="S77" t="s">
        <v>2525</v>
      </c>
      <c r="U77" t="s">
        <v>2668</v>
      </c>
      <c r="W77" t="s">
        <v>336</v>
      </c>
      <c r="Y77" t="s">
        <v>30</v>
      </c>
      <c r="Z77" t="s">
        <v>30</v>
      </c>
      <c r="AA77" t="str">
        <f>IF(NOT("https://maps.app.goo.gl/xfueMc3S6FseMnuQ6" = ""), HYPERLINK("https://maps.app.goo.gl/xfueMc3S6FseMnuQ6", "موقع"), "")</f>
        <v>موقع</v>
      </c>
    </row>
    <row r="78" spans="1:27" x14ac:dyDescent="0.3">
      <c r="A78" t="s">
        <v>337</v>
      </c>
      <c r="B78" s="8">
        <v>46282.623217592591</v>
      </c>
      <c r="C78" t="s">
        <v>2</v>
      </c>
      <c r="D78" t="s">
        <v>315</v>
      </c>
      <c r="E78" t="s">
        <v>339</v>
      </c>
      <c r="F78" t="s">
        <v>2669</v>
      </c>
      <c r="G78" t="s">
        <v>296</v>
      </c>
      <c r="H78" t="s">
        <v>23</v>
      </c>
      <c r="I78" t="s">
        <v>24</v>
      </c>
      <c r="J78" t="s">
        <v>338</v>
      </c>
      <c r="K78" t="s">
        <v>119</v>
      </c>
      <c r="L78">
        <v>0</v>
      </c>
      <c r="M78">
        <v>729</v>
      </c>
      <c r="N78">
        <v>24000</v>
      </c>
      <c r="O78">
        <v>32.594110999999998</v>
      </c>
      <c r="P78">
        <v>35.884082999999997</v>
      </c>
      <c r="Q78" t="s">
        <v>340</v>
      </c>
      <c r="S78" t="s">
        <v>2525</v>
      </c>
      <c r="U78" t="s">
        <v>2670</v>
      </c>
      <c r="W78" t="s">
        <v>341</v>
      </c>
      <c r="Y78" t="s">
        <v>30</v>
      </c>
      <c r="Z78" t="s">
        <v>30</v>
      </c>
      <c r="AA78" t="str">
        <f>IF(NOT("https://maps.app.goo.gl/yrsuFhMg29HqzpgT8" = ""), HYPERLINK("https://maps.app.goo.gl/yrsuFhMg29HqzpgT8", "موقع"), "")</f>
        <v>موقع</v>
      </c>
    </row>
    <row r="79" spans="1:27" x14ac:dyDescent="0.3">
      <c r="A79" t="s">
        <v>342</v>
      </c>
      <c r="B79" s="8">
        <v>46282.623217592591</v>
      </c>
      <c r="C79" t="s">
        <v>2</v>
      </c>
      <c r="D79" t="s">
        <v>315</v>
      </c>
      <c r="E79" t="s">
        <v>345</v>
      </c>
      <c r="F79" t="s">
        <v>2671</v>
      </c>
      <c r="G79" t="s">
        <v>296</v>
      </c>
      <c r="H79" t="s">
        <v>23</v>
      </c>
      <c r="I79" t="s">
        <v>124</v>
      </c>
      <c r="J79" t="s">
        <v>343</v>
      </c>
      <c r="K79" t="s">
        <v>344</v>
      </c>
      <c r="L79">
        <v>0</v>
      </c>
      <c r="M79">
        <v>61</v>
      </c>
      <c r="N79">
        <v>29000</v>
      </c>
      <c r="O79">
        <v>32.701611</v>
      </c>
      <c r="P79">
        <v>35.821722000000001</v>
      </c>
      <c r="Q79" t="s">
        <v>346</v>
      </c>
      <c r="S79" t="s">
        <v>2525</v>
      </c>
      <c r="U79" t="s">
        <v>2672</v>
      </c>
      <c r="W79" t="s">
        <v>347</v>
      </c>
      <c r="Y79" t="s">
        <v>30</v>
      </c>
      <c r="Z79" t="s">
        <v>30</v>
      </c>
      <c r="AA79" t="str">
        <f>IF(NOT("https://maps.app.goo.gl/PkpZhJFrJ1mewJSx8" = ""), HYPERLINK("https://maps.app.goo.gl/PkpZhJFrJ1mewJSx8", "موقع"), "")</f>
        <v>موقع</v>
      </c>
    </row>
    <row r="80" spans="1:27" x14ac:dyDescent="0.3">
      <c r="A80" t="s">
        <v>348</v>
      </c>
      <c r="B80" s="8">
        <v>46282.623217592591</v>
      </c>
      <c r="C80" t="s">
        <v>2</v>
      </c>
      <c r="D80" t="s">
        <v>315</v>
      </c>
      <c r="E80" t="s">
        <v>351</v>
      </c>
      <c r="F80" t="s">
        <v>2673</v>
      </c>
      <c r="G80" t="s">
        <v>296</v>
      </c>
      <c r="H80" t="s">
        <v>23</v>
      </c>
      <c r="I80" t="s">
        <v>24</v>
      </c>
      <c r="J80" t="s">
        <v>349</v>
      </c>
      <c r="K80" t="s">
        <v>350</v>
      </c>
      <c r="L80">
        <v>0</v>
      </c>
      <c r="M80">
        <v>106</v>
      </c>
      <c r="N80">
        <v>31000</v>
      </c>
      <c r="O80">
        <v>32.595666999999999</v>
      </c>
      <c r="P80">
        <v>35.719028000000002</v>
      </c>
      <c r="Q80" t="s">
        <v>329</v>
      </c>
      <c r="S80" t="s">
        <v>2525</v>
      </c>
      <c r="U80" t="s">
        <v>2674</v>
      </c>
      <c r="W80" t="s">
        <v>352</v>
      </c>
      <c r="Y80" t="s">
        <v>30</v>
      </c>
      <c r="Z80" t="s">
        <v>30</v>
      </c>
      <c r="AA80" t="str">
        <f>IF(NOT("https://maps.app.goo.gl/3msA12hQHzN4nvueA" = ""), HYPERLINK("https://maps.app.goo.gl/3msA12hQHzN4nvueA", "موقع"), "")</f>
        <v>موقع</v>
      </c>
    </row>
    <row r="81" spans="1:27" x14ac:dyDescent="0.3">
      <c r="A81" t="s">
        <v>353</v>
      </c>
      <c r="B81" s="8">
        <v>46282.623217592591</v>
      </c>
      <c r="C81" t="s">
        <v>2</v>
      </c>
      <c r="D81" t="s">
        <v>315</v>
      </c>
      <c r="E81" t="s">
        <v>247</v>
      </c>
      <c r="F81" t="s">
        <v>2675</v>
      </c>
      <c r="G81" t="s">
        <v>296</v>
      </c>
      <c r="H81" t="s">
        <v>23</v>
      </c>
      <c r="I81" t="s">
        <v>24</v>
      </c>
      <c r="J81" t="s">
        <v>245</v>
      </c>
      <c r="K81" t="s">
        <v>354</v>
      </c>
      <c r="L81">
        <v>0</v>
      </c>
      <c r="M81">
        <v>1237</v>
      </c>
      <c r="N81">
        <v>35000</v>
      </c>
      <c r="O81">
        <v>32.488638999999999</v>
      </c>
      <c r="P81">
        <v>35.881388999999999</v>
      </c>
      <c r="Q81" t="s">
        <v>355</v>
      </c>
      <c r="S81" t="s">
        <v>2525</v>
      </c>
      <c r="U81" t="s">
        <v>2676</v>
      </c>
      <c r="W81" t="s">
        <v>356</v>
      </c>
      <c r="Y81" t="s">
        <v>30</v>
      </c>
      <c r="Z81" t="s">
        <v>30</v>
      </c>
      <c r="AA81" t="str">
        <f>IF(NOT("https://maps.app.goo.gl/rD2UqL6Pq2Rt6Qo18" = ""), HYPERLINK("https://maps.app.goo.gl/rD2UqL6Pq2Rt6Qo18", "موقع"), "")</f>
        <v>موقع</v>
      </c>
    </row>
    <row r="82" spans="1:27" x14ac:dyDescent="0.3">
      <c r="A82" t="s">
        <v>357</v>
      </c>
      <c r="B82" s="8">
        <v>46282.623217592591</v>
      </c>
      <c r="C82" t="s">
        <v>2</v>
      </c>
      <c r="D82" t="s">
        <v>315</v>
      </c>
      <c r="E82" t="s">
        <v>339</v>
      </c>
      <c r="F82" t="s">
        <v>2677</v>
      </c>
      <c r="G82" t="s">
        <v>296</v>
      </c>
      <c r="H82" t="s">
        <v>23</v>
      </c>
      <c r="I82" t="s">
        <v>24</v>
      </c>
      <c r="J82" t="s">
        <v>338</v>
      </c>
      <c r="K82" t="s">
        <v>119</v>
      </c>
      <c r="L82">
        <v>0</v>
      </c>
      <c r="M82">
        <v>730</v>
      </c>
      <c r="N82">
        <v>38000</v>
      </c>
      <c r="O82">
        <v>32.594082999999998</v>
      </c>
      <c r="P82">
        <v>35.884082999999997</v>
      </c>
      <c r="Q82" t="s">
        <v>358</v>
      </c>
      <c r="S82" t="s">
        <v>2525</v>
      </c>
      <c r="U82" t="s">
        <v>2678</v>
      </c>
      <c r="W82" t="s">
        <v>359</v>
      </c>
      <c r="Y82" t="s">
        <v>30</v>
      </c>
      <c r="Z82" t="s">
        <v>30</v>
      </c>
      <c r="AA82" t="str">
        <f>IF(NOT("https://maps.app.goo.gl/3iiVvKGC3G4U5yro8" = ""), HYPERLINK("https://maps.app.goo.gl/3iiVvKGC3G4U5yro8", "موقع"), "")</f>
        <v>موقع</v>
      </c>
    </row>
    <row r="83" spans="1:27" x14ac:dyDescent="0.3">
      <c r="A83" t="s">
        <v>360</v>
      </c>
      <c r="B83" s="8">
        <v>46282.623217592591</v>
      </c>
      <c r="C83" t="s">
        <v>2</v>
      </c>
      <c r="D83" t="s">
        <v>315</v>
      </c>
      <c r="E83" t="s">
        <v>361</v>
      </c>
      <c r="F83" t="s">
        <v>2679</v>
      </c>
      <c r="G83" t="s">
        <v>296</v>
      </c>
      <c r="H83" t="s">
        <v>23</v>
      </c>
      <c r="I83" t="s">
        <v>24</v>
      </c>
      <c r="J83" t="s">
        <v>25</v>
      </c>
      <c r="K83" t="s">
        <v>134</v>
      </c>
      <c r="L83">
        <v>0</v>
      </c>
      <c r="M83">
        <v>866</v>
      </c>
      <c r="N83">
        <v>45000</v>
      </c>
      <c r="O83">
        <v>32.549166999999997</v>
      </c>
      <c r="P83">
        <v>35.842666999999999</v>
      </c>
      <c r="Q83" t="s">
        <v>362</v>
      </c>
      <c r="S83" t="s">
        <v>2525</v>
      </c>
      <c r="U83" t="s">
        <v>2680</v>
      </c>
      <c r="W83" t="s">
        <v>363</v>
      </c>
      <c r="Y83" t="s">
        <v>30</v>
      </c>
      <c r="Z83" t="s">
        <v>30</v>
      </c>
      <c r="AA83" t="str">
        <f>IF(NOT("https://maps.app.goo.gl/GXBMJhyKyLMJtcxM7" = ""), HYPERLINK("https://maps.app.goo.gl/GXBMJhyKyLMJtcxM7", "موقع"), "")</f>
        <v>موقع</v>
      </c>
    </row>
    <row r="84" spans="1:27" x14ac:dyDescent="0.3">
      <c r="A84" t="s">
        <v>364</v>
      </c>
      <c r="B84" s="8">
        <v>46282.623217592591</v>
      </c>
      <c r="C84" t="s">
        <v>2</v>
      </c>
      <c r="D84" t="s">
        <v>315</v>
      </c>
      <c r="E84" t="s">
        <v>367</v>
      </c>
      <c r="F84" t="s">
        <v>2681</v>
      </c>
      <c r="G84" t="s">
        <v>296</v>
      </c>
      <c r="H84" t="s">
        <v>23</v>
      </c>
      <c r="I84" t="s">
        <v>24</v>
      </c>
      <c r="J84" t="s">
        <v>365</v>
      </c>
      <c r="K84" t="s">
        <v>366</v>
      </c>
      <c r="L84">
        <v>0</v>
      </c>
      <c r="M84">
        <v>162</v>
      </c>
      <c r="N84">
        <v>48000</v>
      </c>
      <c r="Q84" t="s">
        <v>368</v>
      </c>
      <c r="S84" t="s">
        <v>2525</v>
      </c>
      <c r="W84" t="s">
        <v>369</v>
      </c>
      <c r="Y84" t="s">
        <v>30</v>
      </c>
      <c r="Z84" t="s">
        <v>30</v>
      </c>
      <c r="AA84" t="s">
        <v>30</v>
      </c>
    </row>
    <row r="85" spans="1:27" x14ac:dyDescent="0.3">
      <c r="A85" t="s">
        <v>370</v>
      </c>
      <c r="B85" s="8">
        <v>46282.623217592591</v>
      </c>
      <c r="C85" t="s">
        <v>2</v>
      </c>
      <c r="D85" t="s">
        <v>315</v>
      </c>
      <c r="E85" t="s">
        <v>62</v>
      </c>
      <c r="F85" t="s">
        <v>2682</v>
      </c>
      <c r="G85" t="s">
        <v>296</v>
      </c>
      <c r="H85" t="s">
        <v>23</v>
      </c>
      <c r="I85" t="s">
        <v>24</v>
      </c>
      <c r="J85" t="s">
        <v>60</v>
      </c>
      <c r="K85" t="s">
        <v>66</v>
      </c>
      <c r="L85">
        <v>0</v>
      </c>
      <c r="M85">
        <v>2453</v>
      </c>
      <c r="N85">
        <v>50000</v>
      </c>
      <c r="O85">
        <v>32.557194000000003</v>
      </c>
      <c r="P85">
        <v>35.835028000000001</v>
      </c>
      <c r="Q85" t="s">
        <v>371</v>
      </c>
      <c r="S85" t="s">
        <v>2525</v>
      </c>
      <c r="U85" t="s">
        <v>2683</v>
      </c>
      <c r="W85" t="s">
        <v>372</v>
      </c>
      <c r="Y85" t="s">
        <v>30</v>
      </c>
      <c r="Z85" t="s">
        <v>30</v>
      </c>
      <c r="AA85" t="str">
        <f>IF(NOT("https://maps.app.goo.gl/AR3euAiFSyfgJSAs9" = ""), HYPERLINK("https://maps.app.goo.gl/AR3euAiFSyfgJSAs9", "موقع"), "")</f>
        <v>موقع</v>
      </c>
    </row>
    <row r="86" spans="1:27" x14ac:dyDescent="0.3">
      <c r="A86" t="s">
        <v>373</v>
      </c>
      <c r="B86" s="8">
        <v>46282.623217592591</v>
      </c>
      <c r="C86" t="s">
        <v>2</v>
      </c>
      <c r="D86" t="s">
        <v>315</v>
      </c>
      <c r="E86" t="s">
        <v>351</v>
      </c>
      <c r="F86" t="s">
        <v>2684</v>
      </c>
      <c r="G86" t="s">
        <v>296</v>
      </c>
      <c r="H86" t="s">
        <v>23</v>
      </c>
      <c r="I86" t="s">
        <v>24</v>
      </c>
      <c r="J86" t="s">
        <v>349</v>
      </c>
      <c r="K86" t="s">
        <v>350</v>
      </c>
      <c r="L86">
        <v>0</v>
      </c>
      <c r="M86">
        <v>63</v>
      </c>
      <c r="N86">
        <v>55000</v>
      </c>
      <c r="O86">
        <v>32.596944000000001</v>
      </c>
      <c r="P86">
        <v>35.717472000000001</v>
      </c>
      <c r="Q86" t="s">
        <v>374</v>
      </c>
      <c r="S86" t="s">
        <v>2525</v>
      </c>
      <c r="U86" t="s">
        <v>2685</v>
      </c>
      <c r="W86" t="s">
        <v>375</v>
      </c>
      <c r="Y86" t="s">
        <v>30</v>
      </c>
      <c r="Z86" t="s">
        <v>30</v>
      </c>
      <c r="AA86" t="str">
        <f>IF(NOT("https://maps.app.goo.gl/DtXyaiEjRb94M7aw7" = ""), HYPERLINK("https://maps.app.goo.gl/DtXyaiEjRb94M7aw7", "موقع"), "")</f>
        <v>موقع</v>
      </c>
    </row>
    <row r="87" spans="1:27" x14ac:dyDescent="0.3">
      <c r="A87" t="s">
        <v>376</v>
      </c>
      <c r="B87" s="8">
        <v>46282.623217592591</v>
      </c>
      <c r="C87" t="s">
        <v>2</v>
      </c>
      <c r="D87" t="s">
        <v>315</v>
      </c>
      <c r="E87" t="s">
        <v>361</v>
      </c>
      <c r="F87" t="s">
        <v>2686</v>
      </c>
      <c r="G87" t="s">
        <v>296</v>
      </c>
      <c r="H87" t="s">
        <v>23</v>
      </c>
      <c r="I87" t="s">
        <v>24</v>
      </c>
      <c r="J87" t="s">
        <v>25</v>
      </c>
      <c r="K87" t="s">
        <v>377</v>
      </c>
      <c r="L87">
        <v>0</v>
      </c>
      <c r="M87">
        <v>1445</v>
      </c>
      <c r="N87">
        <v>55000</v>
      </c>
      <c r="O87">
        <v>32.548138999999999</v>
      </c>
      <c r="P87">
        <v>35.846443999999998</v>
      </c>
      <c r="Q87" t="s">
        <v>378</v>
      </c>
      <c r="S87" t="s">
        <v>2525</v>
      </c>
      <c r="U87" t="s">
        <v>2687</v>
      </c>
      <c r="W87" t="s">
        <v>379</v>
      </c>
      <c r="Y87" t="s">
        <v>30</v>
      </c>
      <c r="Z87" t="s">
        <v>30</v>
      </c>
      <c r="AA87" t="str">
        <f>IF(NOT("https://maps.app.goo.gl/LzgdCzGhRyhhgWh18" = ""), HYPERLINK("https://maps.app.goo.gl/LzgdCzGhRyhhgWh18", "موقع"), "")</f>
        <v>موقع</v>
      </c>
    </row>
    <row r="88" spans="1:27" x14ac:dyDescent="0.3">
      <c r="A88" t="s">
        <v>380</v>
      </c>
      <c r="B88" s="8">
        <v>46282.623217592591</v>
      </c>
      <c r="C88" t="s">
        <v>2</v>
      </c>
      <c r="D88" t="s">
        <v>315</v>
      </c>
      <c r="E88" t="s">
        <v>306</v>
      </c>
      <c r="F88" t="s">
        <v>2688</v>
      </c>
      <c r="G88" t="s">
        <v>296</v>
      </c>
      <c r="H88" t="s">
        <v>23</v>
      </c>
      <c r="I88" t="s">
        <v>182</v>
      </c>
      <c r="J88" t="s">
        <v>304</v>
      </c>
      <c r="K88" t="s">
        <v>381</v>
      </c>
      <c r="L88">
        <v>0</v>
      </c>
      <c r="M88">
        <v>67</v>
      </c>
      <c r="N88">
        <v>75000</v>
      </c>
      <c r="O88">
        <v>32.597110999999998</v>
      </c>
      <c r="P88">
        <v>36.000889000000001</v>
      </c>
      <c r="Q88" t="s">
        <v>382</v>
      </c>
      <c r="S88" t="s">
        <v>2525</v>
      </c>
      <c r="U88" t="s">
        <v>2689</v>
      </c>
      <c r="W88" t="s">
        <v>383</v>
      </c>
      <c r="Y88" t="s">
        <v>30</v>
      </c>
      <c r="Z88" t="s">
        <v>30</v>
      </c>
      <c r="AA88" t="str">
        <f>IF(NOT("https://maps.app.goo.gl/rWMU2WF1wwsE75ZF8" = ""), HYPERLINK("https://maps.app.goo.gl/rWMU2WF1wwsE75ZF8", "موقع"), "")</f>
        <v>موقع</v>
      </c>
    </row>
    <row r="89" spans="1:27" x14ac:dyDescent="0.3">
      <c r="A89" t="s">
        <v>384</v>
      </c>
      <c r="B89" s="8">
        <v>46282.623217592591</v>
      </c>
      <c r="C89" t="s">
        <v>2</v>
      </c>
      <c r="D89" t="s">
        <v>315</v>
      </c>
      <c r="E89" t="s">
        <v>386</v>
      </c>
      <c r="F89" t="s">
        <v>2690</v>
      </c>
      <c r="G89" t="s">
        <v>296</v>
      </c>
      <c r="H89" t="s">
        <v>23</v>
      </c>
      <c r="I89" t="s">
        <v>51</v>
      </c>
      <c r="J89" t="s">
        <v>385</v>
      </c>
      <c r="K89" t="s">
        <v>203</v>
      </c>
      <c r="L89">
        <v>0</v>
      </c>
      <c r="M89">
        <v>189</v>
      </c>
      <c r="N89">
        <v>77000</v>
      </c>
      <c r="O89">
        <v>32.470860999999999</v>
      </c>
      <c r="P89">
        <v>35.707000000000001</v>
      </c>
      <c r="Q89" t="s">
        <v>387</v>
      </c>
      <c r="S89" t="s">
        <v>2525</v>
      </c>
      <c r="U89" t="s">
        <v>2691</v>
      </c>
      <c r="W89" t="s">
        <v>388</v>
      </c>
      <c r="Y89" t="s">
        <v>30</v>
      </c>
      <c r="Z89" t="s">
        <v>30</v>
      </c>
      <c r="AA89" t="str">
        <f>IF(NOT("https://maps.app.goo.gl/TX9RM4fY2Q5KGYjk8" = ""), HYPERLINK("https://maps.app.goo.gl/TX9RM4fY2Q5KGYjk8", "موقع"), "")</f>
        <v>موقع</v>
      </c>
    </row>
    <row r="90" spans="1:27" x14ac:dyDescent="0.3">
      <c r="A90" t="s">
        <v>389</v>
      </c>
      <c r="B90" s="8">
        <v>46282.623217592591</v>
      </c>
      <c r="C90" t="s">
        <v>2</v>
      </c>
      <c r="D90" t="s">
        <v>315</v>
      </c>
      <c r="E90" t="s">
        <v>391</v>
      </c>
      <c r="F90" t="s">
        <v>2692</v>
      </c>
      <c r="G90" t="s">
        <v>296</v>
      </c>
      <c r="H90" t="s">
        <v>23</v>
      </c>
      <c r="I90" t="s">
        <v>182</v>
      </c>
      <c r="J90" t="s">
        <v>304</v>
      </c>
      <c r="K90" t="s">
        <v>390</v>
      </c>
      <c r="L90">
        <v>0</v>
      </c>
      <c r="M90">
        <v>43</v>
      </c>
      <c r="N90">
        <v>84000</v>
      </c>
      <c r="O90">
        <v>32.566167</v>
      </c>
      <c r="P90">
        <v>35.995027999999998</v>
      </c>
      <c r="Q90" t="s">
        <v>392</v>
      </c>
      <c r="S90" t="s">
        <v>2525</v>
      </c>
      <c r="U90" t="s">
        <v>2693</v>
      </c>
      <c r="W90" t="s">
        <v>393</v>
      </c>
      <c r="Y90" t="s">
        <v>30</v>
      </c>
      <c r="Z90" t="s">
        <v>30</v>
      </c>
      <c r="AA90" t="str">
        <f>IF(NOT("https://maps.app.goo.gl/urg1qZ7SUk8YPixh8" = ""), HYPERLINK("https://maps.app.goo.gl/urg1qZ7SUk8YPixh8", "موقع"), "")</f>
        <v>موقع</v>
      </c>
    </row>
    <row r="91" spans="1:27" x14ac:dyDescent="0.3">
      <c r="A91" t="s">
        <v>394</v>
      </c>
      <c r="B91" s="8">
        <v>46282.623217592591</v>
      </c>
      <c r="C91" t="s">
        <v>2</v>
      </c>
      <c r="D91" t="s">
        <v>315</v>
      </c>
      <c r="E91" t="s">
        <v>247</v>
      </c>
      <c r="F91" t="s">
        <v>2694</v>
      </c>
      <c r="G91" t="s">
        <v>296</v>
      </c>
      <c r="H91" t="s">
        <v>23</v>
      </c>
      <c r="I91" t="s">
        <v>24</v>
      </c>
      <c r="J91" t="s">
        <v>245</v>
      </c>
      <c r="K91" t="s">
        <v>288</v>
      </c>
      <c r="L91">
        <v>0</v>
      </c>
      <c r="M91">
        <v>823</v>
      </c>
      <c r="N91">
        <v>92000</v>
      </c>
      <c r="O91">
        <v>32.473472000000001</v>
      </c>
      <c r="P91">
        <v>35.900582999999997</v>
      </c>
      <c r="Q91" t="s">
        <v>395</v>
      </c>
      <c r="S91" t="s">
        <v>2525</v>
      </c>
      <c r="U91" t="s">
        <v>2695</v>
      </c>
      <c r="W91" t="s">
        <v>396</v>
      </c>
      <c r="Y91" t="s">
        <v>30</v>
      </c>
      <c r="Z91" t="s">
        <v>30</v>
      </c>
      <c r="AA91" t="str">
        <f>IF(NOT("https://maps.app.goo.gl/STWRURofdNRi6aNY7" = ""), HYPERLINK("https://maps.app.goo.gl/STWRURofdNRi6aNY7", "موقع"), "")</f>
        <v>موقع</v>
      </c>
    </row>
    <row r="92" spans="1:27" x14ac:dyDescent="0.3">
      <c r="A92" t="s">
        <v>397</v>
      </c>
      <c r="B92" s="8">
        <v>46282.623217592591</v>
      </c>
      <c r="C92" t="s">
        <v>2</v>
      </c>
      <c r="D92" t="s">
        <v>315</v>
      </c>
      <c r="E92" t="s">
        <v>400</v>
      </c>
      <c r="F92" t="s">
        <v>2696</v>
      </c>
      <c r="G92" t="s">
        <v>296</v>
      </c>
      <c r="H92" t="s">
        <v>23</v>
      </c>
      <c r="I92" t="s">
        <v>124</v>
      </c>
      <c r="J92" t="s">
        <v>398</v>
      </c>
      <c r="K92" t="s">
        <v>399</v>
      </c>
      <c r="L92">
        <v>0</v>
      </c>
      <c r="M92">
        <v>74</v>
      </c>
      <c r="N92">
        <v>97000</v>
      </c>
      <c r="Q92" t="s">
        <v>401</v>
      </c>
      <c r="S92" t="s">
        <v>2525</v>
      </c>
      <c r="W92" t="s">
        <v>402</v>
      </c>
      <c r="Y92" t="s">
        <v>30</v>
      </c>
      <c r="Z92" t="s">
        <v>30</v>
      </c>
      <c r="AA92" t="s">
        <v>30</v>
      </c>
    </row>
    <row r="93" spans="1:27" x14ac:dyDescent="0.3">
      <c r="A93" t="s">
        <v>403</v>
      </c>
      <c r="B93" s="8">
        <v>46282.623217592591</v>
      </c>
      <c r="C93" t="s">
        <v>2</v>
      </c>
      <c r="D93" t="s">
        <v>315</v>
      </c>
      <c r="E93" t="s">
        <v>27</v>
      </c>
      <c r="F93" t="s">
        <v>2697</v>
      </c>
      <c r="G93" t="s">
        <v>296</v>
      </c>
      <c r="H93" t="s">
        <v>23</v>
      </c>
      <c r="I93" t="s">
        <v>24</v>
      </c>
      <c r="J93" t="s">
        <v>25</v>
      </c>
      <c r="K93" t="s">
        <v>270</v>
      </c>
      <c r="L93">
        <v>0</v>
      </c>
      <c r="M93">
        <v>1180</v>
      </c>
      <c r="N93">
        <v>105000</v>
      </c>
      <c r="O93">
        <v>32.5595</v>
      </c>
      <c r="P93">
        <v>35.856000000000002</v>
      </c>
      <c r="Q93" t="s">
        <v>404</v>
      </c>
      <c r="S93" t="s">
        <v>2525</v>
      </c>
      <c r="U93" t="s">
        <v>2698</v>
      </c>
      <c r="W93" t="s">
        <v>405</v>
      </c>
      <c r="Y93" t="s">
        <v>30</v>
      </c>
      <c r="Z93" t="s">
        <v>30</v>
      </c>
      <c r="AA93" t="str">
        <f>IF(NOT("https://maps.app.goo.gl/nkSWqjCQP3hoZy576" = ""), HYPERLINK("https://maps.app.goo.gl/nkSWqjCQP3hoZy576", "موقع"), "")</f>
        <v>موقع</v>
      </c>
    </row>
    <row r="94" spans="1:27" x14ac:dyDescent="0.3">
      <c r="A94" t="s">
        <v>406</v>
      </c>
      <c r="B94" s="8">
        <v>46282.623217592591</v>
      </c>
      <c r="C94" t="s">
        <v>2</v>
      </c>
      <c r="D94" t="s">
        <v>315</v>
      </c>
      <c r="E94" t="s">
        <v>164</v>
      </c>
      <c r="F94" t="s">
        <v>2699</v>
      </c>
      <c r="G94" t="s">
        <v>296</v>
      </c>
      <c r="H94" t="s">
        <v>23</v>
      </c>
      <c r="I94" t="s">
        <v>24</v>
      </c>
      <c r="J94" t="s">
        <v>25</v>
      </c>
      <c r="K94" t="s">
        <v>163</v>
      </c>
      <c r="L94">
        <v>0</v>
      </c>
      <c r="M94">
        <v>725</v>
      </c>
      <c r="N94">
        <v>118000</v>
      </c>
      <c r="O94">
        <v>32.545749999999998</v>
      </c>
      <c r="P94">
        <v>35.865471999999997</v>
      </c>
      <c r="Q94" t="s">
        <v>407</v>
      </c>
      <c r="S94" t="s">
        <v>2525</v>
      </c>
      <c r="U94" t="s">
        <v>2700</v>
      </c>
      <c r="W94" t="s">
        <v>408</v>
      </c>
      <c r="Y94" t="s">
        <v>30</v>
      </c>
      <c r="Z94" t="s">
        <v>30</v>
      </c>
      <c r="AA94" t="str">
        <f>IF(NOT("https://maps.app.goo.gl/Ajg2cXekAKXmXFrH7" = ""), HYPERLINK("https://maps.app.goo.gl/Ajg2cXekAKXmXFrH7", "موقع"), "")</f>
        <v>موقع</v>
      </c>
    </row>
    <row r="95" spans="1:27" x14ac:dyDescent="0.3">
      <c r="A95" t="s">
        <v>409</v>
      </c>
      <c r="B95" s="8">
        <v>46282.623217592591</v>
      </c>
      <c r="C95" t="s">
        <v>2</v>
      </c>
      <c r="D95" t="s">
        <v>315</v>
      </c>
      <c r="E95" t="s">
        <v>413</v>
      </c>
      <c r="F95" t="s">
        <v>2701</v>
      </c>
      <c r="G95" t="s">
        <v>296</v>
      </c>
      <c r="H95" t="s">
        <v>23</v>
      </c>
      <c r="I95" t="s">
        <v>410</v>
      </c>
      <c r="J95" t="s">
        <v>411</v>
      </c>
      <c r="K95" t="s">
        <v>412</v>
      </c>
      <c r="L95">
        <v>0</v>
      </c>
      <c r="M95">
        <v>361</v>
      </c>
      <c r="N95">
        <v>118000</v>
      </c>
      <c r="O95">
        <v>32.479472000000001</v>
      </c>
      <c r="P95">
        <v>35.841943999999998</v>
      </c>
      <c r="Q95" t="s">
        <v>414</v>
      </c>
      <c r="S95" t="s">
        <v>2525</v>
      </c>
      <c r="U95" t="s">
        <v>2702</v>
      </c>
      <c r="W95" t="s">
        <v>415</v>
      </c>
      <c r="Y95" t="s">
        <v>30</v>
      </c>
      <c r="Z95" t="s">
        <v>30</v>
      </c>
      <c r="AA95" t="str">
        <f>IF(NOT("https://maps.app.goo.gl/nseKLKQLmz7rJbWt8" = ""), HYPERLINK("https://maps.app.goo.gl/nseKLKQLmz7rJbWt8", "موقع"), "")</f>
        <v>موقع</v>
      </c>
    </row>
    <row r="96" spans="1:27" x14ac:dyDescent="0.3">
      <c r="A96" t="s">
        <v>416</v>
      </c>
      <c r="B96" s="8">
        <v>46282.623217592591</v>
      </c>
      <c r="C96" t="s">
        <v>2</v>
      </c>
      <c r="D96" t="s">
        <v>315</v>
      </c>
      <c r="E96" t="s">
        <v>306</v>
      </c>
      <c r="F96" t="s">
        <v>2703</v>
      </c>
      <c r="G96" t="s">
        <v>296</v>
      </c>
      <c r="H96" t="s">
        <v>23</v>
      </c>
      <c r="I96" t="s">
        <v>182</v>
      </c>
      <c r="J96" t="s">
        <v>304</v>
      </c>
      <c r="K96" t="s">
        <v>417</v>
      </c>
      <c r="L96">
        <v>0</v>
      </c>
      <c r="M96">
        <v>573</v>
      </c>
      <c r="N96">
        <v>185000</v>
      </c>
      <c r="O96">
        <v>32.553417000000003</v>
      </c>
      <c r="P96">
        <v>35.994917000000001</v>
      </c>
      <c r="Q96" t="s">
        <v>418</v>
      </c>
      <c r="S96" t="s">
        <v>2525</v>
      </c>
      <c r="U96" t="s">
        <v>2704</v>
      </c>
      <c r="W96" t="s">
        <v>419</v>
      </c>
      <c r="Y96" t="s">
        <v>30</v>
      </c>
      <c r="Z96" t="s">
        <v>30</v>
      </c>
      <c r="AA96" t="str">
        <f>IF(NOT("https://maps.app.goo.gl/yDfoGpQw5inuowEEA" = ""), HYPERLINK("https://maps.app.goo.gl/yDfoGpQw5inuowEEA", "موقع"), "")</f>
        <v>موقع</v>
      </c>
    </row>
    <row r="97" spans="1:27" x14ac:dyDescent="0.3">
      <c r="A97" t="s">
        <v>420</v>
      </c>
      <c r="B97" s="8">
        <v>46282.623217592591</v>
      </c>
      <c r="C97" t="s">
        <v>2</v>
      </c>
      <c r="D97" t="s">
        <v>315</v>
      </c>
      <c r="E97" t="s">
        <v>154</v>
      </c>
      <c r="F97" t="s">
        <v>2705</v>
      </c>
      <c r="G97" t="s">
        <v>296</v>
      </c>
      <c r="H97" t="s">
        <v>23</v>
      </c>
      <c r="I97" t="s">
        <v>24</v>
      </c>
      <c r="J97" t="s">
        <v>214</v>
      </c>
      <c r="K97" t="s">
        <v>421</v>
      </c>
      <c r="L97">
        <v>0</v>
      </c>
      <c r="M97">
        <v>752</v>
      </c>
      <c r="N97">
        <v>231000</v>
      </c>
      <c r="Q97" t="s">
        <v>422</v>
      </c>
      <c r="S97" t="s">
        <v>2525</v>
      </c>
      <c r="W97" t="s">
        <v>423</v>
      </c>
      <c r="Y97" t="s">
        <v>30</v>
      </c>
      <c r="Z97" t="s">
        <v>30</v>
      </c>
      <c r="AA97" t="s">
        <v>30</v>
      </c>
    </row>
    <row r="98" spans="1:27" x14ac:dyDescent="0.3">
      <c r="A98" t="s">
        <v>424</v>
      </c>
      <c r="B98" s="8">
        <v>46282.623217592591</v>
      </c>
      <c r="C98" t="s">
        <v>2</v>
      </c>
      <c r="D98" t="s">
        <v>315</v>
      </c>
      <c r="E98" t="s">
        <v>425</v>
      </c>
      <c r="F98" t="s">
        <v>2706</v>
      </c>
      <c r="G98" t="s">
        <v>296</v>
      </c>
      <c r="H98" t="s">
        <v>23</v>
      </c>
      <c r="I98" t="s">
        <v>24</v>
      </c>
      <c r="J98" t="s">
        <v>25</v>
      </c>
      <c r="K98" t="s">
        <v>232</v>
      </c>
      <c r="L98">
        <v>0</v>
      </c>
      <c r="M98">
        <v>916</v>
      </c>
      <c r="N98">
        <v>321000</v>
      </c>
      <c r="O98">
        <v>32.556556</v>
      </c>
      <c r="P98">
        <v>35.872388999999998</v>
      </c>
      <c r="Q98" t="s">
        <v>426</v>
      </c>
      <c r="R98" t="s">
        <v>2707</v>
      </c>
      <c r="S98" t="s">
        <v>2579</v>
      </c>
      <c r="T98" t="s">
        <v>2708</v>
      </c>
      <c r="U98" t="s">
        <v>2709</v>
      </c>
      <c r="W98" t="s">
        <v>427</v>
      </c>
      <c r="Y98" t="s">
        <v>30</v>
      </c>
      <c r="Z98" t="str">
        <f>IF(NOT("https://truemarkets3d.net/3d-virtual-tour/housingbank-realestate/phase3/aq-bld-100175/index.html" = ""), HYPERLINK("https://truemarkets3d.net/3d-virtual-tour/housingbank-realestate/phase3/aq-bld-100175/index.html", "جولة"), "")</f>
        <v>جولة</v>
      </c>
      <c r="AA98" t="str">
        <f>IF(NOT("https://maps.app.goo.gl/7mzbgBp7QAgt2Bbo8" = ""), HYPERLINK("https://maps.app.goo.gl/7mzbgBp7QAgt2Bbo8", "موقع"), "")</f>
        <v>موقع</v>
      </c>
    </row>
    <row r="99" spans="1:27" x14ac:dyDescent="0.3">
      <c r="A99" t="s">
        <v>428</v>
      </c>
      <c r="B99" s="8">
        <v>46282.623217592591</v>
      </c>
      <c r="C99" t="s">
        <v>2</v>
      </c>
      <c r="D99" t="s">
        <v>315</v>
      </c>
      <c r="E99" t="s">
        <v>306</v>
      </c>
      <c r="F99" t="s">
        <v>2710</v>
      </c>
      <c r="G99" t="s">
        <v>296</v>
      </c>
      <c r="H99" t="s">
        <v>23</v>
      </c>
      <c r="I99" t="s">
        <v>182</v>
      </c>
      <c r="J99" t="s">
        <v>304</v>
      </c>
      <c r="K99" t="s">
        <v>429</v>
      </c>
      <c r="L99">
        <v>0</v>
      </c>
      <c r="M99">
        <v>171</v>
      </c>
      <c r="N99">
        <v>702000</v>
      </c>
      <c r="O99">
        <v>32.559111000000001</v>
      </c>
      <c r="P99">
        <v>36.037111000000003</v>
      </c>
      <c r="Q99" t="s">
        <v>430</v>
      </c>
      <c r="S99" t="s">
        <v>2525</v>
      </c>
      <c r="U99" t="s">
        <v>2711</v>
      </c>
      <c r="W99" t="s">
        <v>431</v>
      </c>
      <c r="Y99" t="s">
        <v>30</v>
      </c>
      <c r="Z99" t="s">
        <v>30</v>
      </c>
      <c r="AA99" t="str">
        <f>IF(NOT("https://maps.app.goo.gl/UgNCnG7BSRKgpzCo9" = ""), HYPERLINK("https://maps.app.goo.gl/UgNCnG7BSRKgpzCo9", "موقع"), "")</f>
        <v>موقع</v>
      </c>
    </row>
    <row r="100" spans="1:27" x14ac:dyDescent="0.3">
      <c r="A100" t="s">
        <v>432</v>
      </c>
      <c r="B100" s="8">
        <v>46282.623217592591</v>
      </c>
      <c r="C100" t="s">
        <v>2</v>
      </c>
      <c r="D100" t="s">
        <v>315</v>
      </c>
      <c r="E100" t="s">
        <v>435</v>
      </c>
      <c r="F100" t="s">
        <v>2712</v>
      </c>
      <c r="G100" t="s">
        <v>296</v>
      </c>
      <c r="H100" t="s">
        <v>23</v>
      </c>
      <c r="I100" t="s">
        <v>410</v>
      </c>
      <c r="J100" t="s">
        <v>433</v>
      </c>
      <c r="K100" t="s">
        <v>434</v>
      </c>
      <c r="L100">
        <v>0</v>
      </c>
      <c r="M100">
        <v>720</v>
      </c>
      <c r="Q100" t="s">
        <v>436</v>
      </c>
      <c r="S100" t="s">
        <v>2525</v>
      </c>
      <c r="Y100" t="s">
        <v>30</v>
      </c>
      <c r="Z100" t="s">
        <v>30</v>
      </c>
      <c r="AA100" t="s">
        <v>30</v>
      </c>
    </row>
    <row r="101" spans="1:27" x14ac:dyDescent="0.3">
      <c r="A101" t="s">
        <v>437</v>
      </c>
      <c r="B101" s="8">
        <v>46282.623217592591</v>
      </c>
      <c r="C101" t="s">
        <v>2</v>
      </c>
      <c r="D101" t="s">
        <v>315</v>
      </c>
      <c r="E101" t="s">
        <v>334</v>
      </c>
      <c r="F101" t="s">
        <v>2713</v>
      </c>
      <c r="G101" t="s">
        <v>296</v>
      </c>
      <c r="H101" t="s">
        <v>23</v>
      </c>
      <c r="I101" t="s">
        <v>88</v>
      </c>
      <c r="J101" t="s">
        <v>298</v>
      </c>
      <c r="K101" t="s">
        <v>438</v>
      </c>
      <c r="L101">
        <v>0</v>
      </c>
      <c r="M101">
        <v>49</v>
      </c>
      <c r="O101">
        <v>32.520693999999999</v>
      </c>
      <c r="P101">
        <v>35.589556000000002</v>
      </c>
      <c r="Q101" t="s">
        <v>439</v>
      </c>
      <c r="S101" t="s">
        <v>2525</v>
      </c>
      <c r="U101" t="s">
        <v>2714</v>
      </c>
      <c r="Y101" t="s">
        <v>30</v>
      </c>
      <c r="Z101" t="s">
        <v>30</v>
      </c>
      <c r="AA101" t="str">
        <f>IF(NOT("https://maps.app.goo.gl/rw6KdRkUkafAUiVy7" = ""), HYPERLINK("https://maps.app.goo.gl/rw6KdRkUkafAUiVy7", "موقع"), "")</f>
        <v>موقع</v>
      </c>
    </row>
    <row r="102" spans="1:27" x14ac:dyDescent="0.3">
      <c r="A102" t="s">
        <v>440</v>
      </c>
      <c r="B102" s="8">
        <v>46282.623217592591</v>
      </c>
      <c r="C102" t="s">
        <v>2</v>
      </c>
      <c r="D102" t="s">
        <v>315</v>
      </c>
      <c r="E102" t="s">
        <v>306</v>
      </c>
      <c r="F102" t="s">
        <v>2715</v>
      </c>
      <c r="G102" t="s">
        <v>296</v>
      </c>
      <c r="H102" t="s">
        <v>23</v>
      </c>
      <c r="I102" t="s">
        <v>182</v>
      </c>
      <c r="J102" t="s">
        <v>304</v>
      </c>
      <c r="K102" t="s">
        <v>441</v>
      </c>
      <c r="L102">
        <v>0</v>
      </c>
      <c r="M102">
        <v>627</v>
      </c>
      <c r="O102">
        <v>32.545389</v>
      </c>
      <c r="P102">
        <v>36.013582999999997</v>
      </c>
      <c r="Q102" t="s">
        <v>442</v>
      </c>
      <c r="S102" t="s">
        <v>2525</v>
      </c>
      <c r="U102" t="s">
        <v>2716</v>
      </c>
      <c r="Y102" t="s">
        <v>30</v>
      </c>
      <c r="Z102" t="s">
        <v>30</v>
      </c>
      <c r="AA102" t="str">
        <f>IF(NOT("https://maps.app.goo.gl/EDZyqkJzKHTYzeTY6" = ""), HYPERLINK("https://maps.app.goo.gl/EDZyqkJzKHTYzeTY6", "موقع"), "")</f>
        <v>موقع</v>
      </c>
    </row>
    <row r="103" spans="1:27" x14ac:dyDescent="0.3">
      <c r="A103" t="s">
        <v>443</v>
      </c>
      <c r="B103" s="8">
        <v>46282.623217592591</v>
      </c>
      <c r="C103" t="s">
        <v>2</v>
      </c>
      <c r="D103" t="s">
        <v>315</v>
      </c>
      <c r="E103" t="s">
        <v>445</v>
      </c>
      <c r="F103" t="s">
        <v>2717</v>
      </c>
      <c r="G103" t="s">
        <v>296</v>
      </c>
      <c r="H103" t="s">
        <v>23</v>
      </c>
      <c r="I103" t="s">
        <v>410</v>
      </c>
      <c r="J103" t="s">
        <v>444</v>
      </c>
      <c r="K103" t="s">
        <v>84</v>
      </c>
      <c r="L103">
        <v>201</v>
      </c>
      <c r="M103">
        <v>771</v>
      </c>
      <c r="O103">
        <v>32.490167</v>
      </c>
      <c r="P103">
        <v>35.794888999999998</v>
      </c>
      <c r="Q103" t="s">
        <v>446</v>
      </c>
      <c r="S103" t="s">
        <v>2525</v>
      </c>
      <c r="U103" t="s">
        <v>2718</v>
      </c>
      <c r="Y103" t="s">
        <v>30</v>
      </c>
      <c r="Z103" t="s">
        <v>30</v>
      </c>
      <c r="AA103" t="str">
        <f>IF(NOT("https://maps.app.goo.gl/ePb1APEtEBEEMrMK9" = ""), HYPERLINK("https://maps.app.goo.gl/ePb1APEtEBEEMrMK9", "موقع"), "")</f>
        <v>موقع</v>
      </c>
    </row>
    <row r="104" spans="1:27" x14ac:dyDescent="0.3">
      <c r="A104" t="s">
        <v>447</v>
      </c>
      <c r="B104" s="8">
        <v>46282.623217592591</v>
      </c>
      <c r="C104" t="s">
        <v>2</v>
      </c>
      <c r="D104" t="s">
        <v>315</v>
      </c>
      <c r="E104" t="s">
        <v>168</v>
      </c>
      <c r="F104" t="s">
        <v>2719</v>
      </c>
      <c r="G104" t="s">
        <v>296</v>
      </c>
      <c r="H104" t="s">
        <v>23</v>
      </c>
      <c r="I104" t="s">
        <v>24</v>
      </c>
      <c r="J104" t="s">
        <v>158</v>
      </c>
      <c r="K104" t="s">
        <v>448</v>
      </c>
      <c r="L104">
        <v>0</v>
      </c>
      <c r="M104">
        <v>575</v>
      </c>
      <c r="Q104" t="s">
        <v>449</v>
      </c>
      <c r="S104" t="s">
        <v>2525</v>
      </c>
      <c r="Y104" t="s">
        <v>30</v>
      </c>
      <c r="Z104" t="s">
        <v>30</v>
      </c>
      <c r="AA104" t="s">
        <v>30</v>
      </c>
    </row>
    <row r="105" spans="1:27" x14ac:dyDescent="0.3">
      <c r="A105" t="s">
        <v>450</v>
      </c>
      <c r="B105" s="8">
        <v>46282.623217592591</v>
      </c>
      <c r="C105" t="s">
        <v>2</v>
      </c>
      <c r="D105" t="s">
        <v>451</v>
      </c>
      <c r="E105" t="s">
        <v>306</v>
      </c>
      <c r="F105" t="s">
        <v>2720</v>
      </c>
      <c r="G105" t="s">
        <v>296</v>
      </c>
      <c r="H105" t="s">
        <v>23</v>
      </c>
      <c r="I105" t="s">
        <v>182</v>
      </c>
      <c r="J105" t="s">
        <v>304</v>
      </c>
      <c r="K105" t="s">
        <v>441</v>
      </c>
      <c r="M105">
        <v>512</v>
      </c>
      <c r="N105">
        <v>220000</v>
      </c>
      <c r="O105">
        <v>32.544083000000001</v>
      </c>
      <c r="P105">
        <v>36.011972</v>
      </c>
      <c r="Q105" t="s">
        <v>452</v>
      </c>
      <c r="S105" t="s">
        <v>2525</v>
      </c>
      <c r="U105" t="s">
        <v>2721</v>
      </c>
      <c r="W105" t="s">
        <v>453</v>
      </c>
      <c r="Y105" t="s">
        <v>30</v>
      </c>
      <c r="Z105" t="s">
        <v>30</v>
      </c>
      <c r="AA105" t="str">
        <f>IF(NOT("https://maps.app.goo.gl/P22nSAKpY1y173fX9" = ""), HYPERLINK("https://maps.app.goo.gl/P22nSAKpY1y173fX9", "موقع"), "")</f>
        <v>موقع</v>
      </c>
    </row>
    <row r="106" spans="1:27" x14ac:dyDescent="0.3">
      <c r="A106" t="s">
        <v>454</v>
      </c>
      <c r="B106" s="8">
        <v>46282.623217592591</v>
      </c>
      <c r="C106" t="s">
        <v>2</v>
      </c>
      <c r="D106" t="s">
        <v>451</v>
      </c>
      <c r="E106" t="s">
        <v>172</v>
      </c>
      <c r="F106" t="s">
        <v>2722</v>
      </c>
      <c r="G106" t="s">
        <v>296</v>
      </c>
      <c r="H106" t="s">
        <v>23</v>
      </c>
      <c r="I106" t="s">
        <v>24</v>
      </c>
      <c r="J106" t="s">
        <v>25</v>
      </c>
      <c r="K106" t="s">
        <v>455</v>
      </c>
      <c r="L106">
        <v>0</v>
      </c>
      <c r="M106">
        <v>144</v>
      </c>
      <c r="Q106" t="s">
        <v>456</v>
      </c>
      <c r="R106" t="s">
        <v>2723</v>
      </c>
      <c r="S106" t="s">
        <v>2579</v>
      </c>
      <c r="T106" t="s">
        <v>2724</v>
      </c>
      <c r="Y106" t="s">
        <v>30</v>
      </c>
      <c r="Z106" t="str">
        <f>IF(NOT("https://truemarkets3d.net/3d-virtual-tour/housingbank-realestate/phase3/aq-bld-100188/index.html" = ""), HYPERLINK("https://truemarkets3d.net/3d-virtual-tour/housingbank-realestate/phase3/aq-bld-100188/index.html", "جولة"), "")</f>
        <v>جولة</v>
      </c>
      <c r="AA106" t="s">
        <v>30</v>
      </c>
    </row>
    <row r="107" spans="1:27" x14ac:dyDescent="0.3">
      <c r="A107" t="s">
        <v>457</v>
      </c>
      <c r="B107" s="8">
        <v>46282.623217592591</v>
      </c>
      <c r="C107" t="s">
        <v>2</v>
      </c>
      <c r="D107" t="s">
        <v>451</v>
      </c>
      <c r="E107" t="s">
        <v>460</v>
      </c>
      <c r="F107" t="s">
        <v>2725</v>
      </c>
      <c r="G107" t="s">
        <v>296</v>
      </c>
      <c r="H107" t="s">
        <v>23</v>
      </c>
      <c r="I107" t="s">
        <v>24</v>
      </c>
      <c r="J107" t="s">
        <v>458</v>
      </c>
      <c r="K107" t="s">
        <v>459</v>
      </c>
      <c r="L107">
        <v>0</v>
      </c>
      <c r="M107">
        <v>512</v>
      </c>
      <c r="O107">
        <v>32.540111000000003</v>
      </c>
      <c r="P107">
        <v>35.902000000000001</v>
      </c>
      <c r="Q107" t="s">
        <v>461</v>
      </c>
      <c r="S107" t="s">
        <v>2525</v>
      </c>
      <c r="T107" t="s">
        <v>2726</v>
      </c>
      <c r="U107" t="s">
        <v>2727</v>
      </c>
      <c r="Y107" t="s">
        <v>30</v>
      </c>
      <c r="Z107" t="s">
        <v>30</v>
      </c>
      <c r="AA107" t="str">
        <f>IF(NOT("https://maps.app.goo.gl/CKxCcy4DKNVycDsc9" = ""), HYPERLINK("https://maps.app.goo.gl/CKxCcy4DKNVycDsc9", "موقع"), "")</f>
        <v>موقع</v>
      </c>
    </row>
    <row r="108" spans="1:27" x14ac:dyDescent="0.3">
      <c r="A108" t="s">
        <v>462</v>
      </c>
      <c r="B108" s="8">
        <v>46282.623217592591</v>
      </c>
      <c r="C108" t="s">
        <v>2</v>
      </c>
      <c r="D108" t="s">
        <v>463</v>
      </c>
      <c r="E108" t="s">
        <v>367</v>
      </c>
      <c r="F108" t="s">
        <v>2728</v>
      </c>
      <c r="G108" t="s">
        <v>296</v>
      </c>
      <c r="H108" t="s">
        <v>23</v>
      </c>
      <c r="I108" t="s">
        <v>24</v>
      </c>
      <c r="J108" t="s">
        <v>365</v>
      </c>
      <c r="K108" t="s">
        <v>464</v>
      </c>
      <c r="L108">
        <v>0</v>
      </c>
      <c r="M108">
        <v>68</v>
      </c>
      <c r="N108">
        <v>217000</v>
      </c>
      <c r="O108">
        <v>32.426082999999998</v>
      </c>
      <c r="P108">
        <v>35.887611</v>
      </c>
      <c r="Q108" t="s">
        <v>465</v>
      </c>
      <c r="R108" t="s">
        <v>2729</v>
      </c>
      <c r="S108" t="s">
        <v>2579</v>
      </c>
      <c r="T108" t="s">
        <v>2730</v>
      </c>
      <c r="U108" t="s">
        <v>2731</v>
      </c>
      <c r="W108" t="s">
        <v>466</v>
      </c>
      <c r="Y108" t="s">
        <v>30</v>
      </c>
      <c r="Z108" t="str">
        <f>IF(NOT("https://truemarkets3d.net/3d-virtual-tour/housingbank-realestate/phase3/aq-bld-1002151/index.html" = ""), HYPERLINK("https://truemarkets3d.net/3d-virtual-tour/housingbank-realestate/phase3/aq-bld-1002151/index.html", "جولة"), "")</f>
        <v>جولة</v>
      </c>
      <c r="AA108" t="str">
        <f>IF(NOT("https://maps.app.goo.gl/eBPzDJAw2Gem5hgY8" = ""), HYPERLINK("https://maps.app.goo.gl/eBPzDJAw2Gem5hgY8", "موقع"), "")</f>
        <v>موقع</v>
      </c>
    </row>
    <row r="109" spans="1:27" x14ac:dyDescent="0.3">
      <c r="A109" t="s">
        <v>467</v>
      </c>
      <c r="B109" s="8">
        <v>46282.623217592591</v>
      </c>
      <c r="C109" t="s">
        <v>2</v>
      </c>
      <c r="D109" t="s">
        <v>469</v>
      </c>
      <c r="E109" t="s">
        <v>472</v>
      </c>
      <c r="F109" t="s">
        <v>2732</v>
      </c>
      <c r="G109" t="s">
        <v>468</v>
      </c>
      <c r="H109" t="s">
        <v>23</v>
      </c>
      <c r="I109" t="s">
        <v>124</v>
      </c>
      <c r="J109" t="s">
        <v>470</v>
      </c>
      <c r="K109" t="s">
        <v>471</v>
      </c>
      <c r="L109">
        <v>0</v>
      </c>
      <c r="M109">
        <v>215</v>
      </c>
      <c r="N109">
        <v>4000</v>
      </c>
      <c r="O109">
        <v>32.677917000000001</v>
      </c>
      <c r="P109">
        <v>35.680444000000001</v>
      </c>
      <c r="Q109" t="s">
        <v>473</v>
      </c>
      <c r="S109" t="s">
        <v>2525</v>
      </c>
      <c r="T109" t="s">
        <v>2733</v>
      </c>
      <c r="U109" t="s">
        <v>2734</v>
      </c>
      <c r="W109" t="s">
        <v>474</v>
      </c>
      <c r="Y109" t="s">
        <v>30</v>
      </c>
      <c r="Z109" t="s">
        <v>30</v>
      </c>
      <c r="AA109" t="str">
        <f>IF(NOT("https://maps.app.goo.gl/dpR5Bfw38M44h4Xm8" = ""), HYPERLINK("https://maps.app.goo.gl/dpR5Bfw38M44h4Xm8", "موقع"), "")</f>
        <v>موقع</v>
      </c>
    </row>
    <row r="110" spans="1:27" x14ac:dyDescent="0.3">
      <c r="A110" t="s">
        <v>475</v>
      </c>
      <c r="B110" s="8">
        <v>46282.623217592591</v>
      </c>
      <c r="C110" t="s">
        <v>2</v>
      </c>
      <c r="D110" t="s">
        <v>469</v>
      </c>
      <c r="E110" t="s">
        <v>478</v>
      </c>
      <c r="F110" t="s">
        <v>2735</v>
      </c>
      <c r="G110" t="s">
        <v>468</v>
      </c>
      <c r="H110" t="s">
        <v>23</v>
      </c>
      <c r="I110" t="s">
        <v>24</v>
      </c>
      <c r="J110" t="s">
        <v>476</v>
      </c>
      <c r="K110" t="s">
        <v>477</v>
      </c>
      <c r="L110">
        <v>0</v>
      </c>
      <c r="M110">
        <v>197</v>
      </c>
      <c r="N110">
        <v>20000</v>
      </c>
      <c r="O110">
        <v>32.531694000000002</v>
      </c>
      <c r="P110">
        <v>35.771082999999997</v>
      </c>
      <c r="Q110" t="s">
        <v>479</v>
      </c>
      <c r="S110" t="s">
        <v>2525</v>
      </c>
      <c r="T110" t="s">
        <v>2736</v>
      </c>
      <c r="U110" t="s">
        <v>2737</v>
      </c>
      <c r="W110" t="s">
        <v>480</v>
      </c>
      <c r="Y110" t="s">
        <v>30</v>
      </c>
      <c r="Z110" t="s">
        <v>30</v>
      </c>
      <c r="AA110" t="str">
        <f>IF(NOT("https://maps.app.goo.gl/nUG5J3zE6ENvjhgFA" = ""), HYPERLINK("https://maps.app.goo.gl/nUG5J3zE6ENvjhgFA", "موقع"), "")</f>
        <v>موقع</v>
      </c>
    </row>
    <row r="111" spans="1:27" x14ac:dyDescent="0.3">
      <c r="A111" t="s">
        <v>481</v>
      </c>
      <c r="B111" s="8">
        <v>46282.623217592591</v>
      </c>
      <c r="C111" t="s">
        <v>2</v>
      </c>
      <c r="D111" t="s">
        <v>469</v>
      </c>
      <c r="E111" t="s">
        <v>478</v>
      </c>
      <c r="F111" t="s">
        <v>2738</v>
      </c>
      <c r="G111" t="s">
        <v>468</v>
      </c>
      <c r="H111" t="s">
        <v>23</v>
      </c>
      <c r="I111" t="s">
        <v>24</v>
      </c>
      <c r="J111" t="s">
        <v>476</v>
      </c>
      <c r="K111" t="s">
        <v>477</v>
      </c>
      <c r="L111">
        <v>0</v>
      </c>
      <c r="M111">
        <v>114</v>
      </c>
      <c r="N111">
        <v>42000</v>
      </c>
      <c r="O111">
        <v>32.532499999999999</v>
      </c>
      <c r="P111">
        <v>35.770667000000003</v>
      </c>
      <c r="Q111" t="s">
        <v>482</v>
      </c>
      <c r="S111" t="s">
        <v>2525</v>
      </c>
      <c r="T111" t="s">
        <v>2739</v>
      </c>
      <c r="U111" t="s">
        <v>2740</v>
      </c>
      <c r="W111" t="s">
        <v>483</v>
      </c>
      <c r="Y111" t="s">
        <v>30</v>
      </c>
      <c r="Z111" t="s">
        <v>30</v>
      </c>
      <c r="AA111" t="str">
        <f>IF(NOT("https://maps.app.goo.gl/MCYQqVTiARQ5qSDFA" = ""), HYPERLINK("https://maps.app.goo.gl/MCYQqVTiARQ5qSDFA", "موقع"), "")</f>
        <v>موقع</v>
      </c>
    </row>
    <row r="112" spans="1:27" x14ac:dyDescent="0.3">
      <c r="A112" t="s">
        <v>484</v>
      </c>
      <c r="B112" s="8">
        <v>46282.623217592591</v>
      </c>
      <c r="C112" t="s">
        <v>2</v>
      </c>
      <c r="D112" t="s">
        <v>469</v>
      </c>
      <c r="E112" t="s">
        <v>284</v>
      </c>
      <c r="F112" t="s">
        <v>2741</v>
      </c>
      <c r="G112" t="s">
        <v>468</v>
      </c>
      <c r="H112" t="s">
        <v>23</v>
      </c>
      <c r="I112" t="s">
        <v>24</v>
      </c>
      <c r="J112" t="s">
        <v>25</v>
      </c>
      <c r="K112" t="s">
        <v>485</v>
      </c>
      <c r="L112">
        <v>0</v>
      </c>
      <c r="M112">
        <v>743</v>
      </c>
      <c r="N112">
        <v>51000</v>
      </c>
      <c r="O112">
        <v>32.545971999999999</v>
      </c>
      <c r="P112">
        <v>35.825972</v>
      </c>
      <c r="Q112" t="s">
        <v>486</v>
      </c>
      <c r="S112" t="s">
        <v>2525</v>
      </c>
      <c r="U112" t="s">
        <v>2742</v>
      </c>
      <c r="W112" t="s">
        <v>487</v>
      </c>
      <c r="Y112" t="s">
        <v>30</v>
      </c>
      <c r="Z112" t="s">
        <v>30</v>
      </c>
      <c r="AA112" t="str">
        <f>IF(NOT("https://maps.app.goo.gl/mPQUN4L9nYnxsqxg7" = ""), HYPERLINK("https://maps.app.goo.gl/mPQUN4L9nYnxsqxg7", "موقع"), "")</f>
        <v>موقع</v>
      </c>
    </row>
    <row r="113" spans="1:27" x14ac:dyDescent="0.3">
      <c r="A113" t="s">
        <v>488</v>
      </c>
      <c r="B113" s="8">
        <v>46282.623217592591</v>
      </c>
      <c r="C113" t="s">
        <v>2</v>
      </c>
      <c r="D113" t="s">
        <v>469</v>
      </c>
      <c r="E113" t="s">
        <v>306</v>
      </c>
      <c r="F113" t="s">
        <v>2743</v>
      </c>
      <c r="G113" t="s">
        <v>468</v>
      </c>
      <c r="H113" t="s">
        <v>23</v>
      </c>
      <c r="I113" t="s">
        <v>182</v>
      </c>
      <c r="J113" t="s">
        <v>304</v>
      </c>
      <c r="K113" t="s">
        <v>441</v>
      </c>
      <c r="L113">
        <v>0</v>
      </c>
      <c r="M113">
        <v>238</v>
      </c>
      <c r="N113">
        <v>79000</v>
      </c>
      <c r="Q113" t="s">
        <v>489</v>
      </c>
      <c r="S113" t="s">
        <v>2525</v>
      </c>
      <c r="W113" t="s">
        <v>490</v>
      </c>
      <c r="Y113" t="s">
        <v>30</v>
      </c>
      <c r="Z113" t="s">
        <v>30</v>
      </c>
      <c r="AA113" t="s">
        <v>30</v>
      </c>
    </row>
    <row r="114" spans="1:27" x14ac:dyDescent="0.3">
      <c r="A114" t="s">
        <v>491</v>
      </c>
      <c r="B114" s="8">
        <v>46282.623217592591</v>
      </c>
      <c r="C114" t="s">
        <v>2</v>
      </c>
      <c r="D114" t="s">
        <v>469</v>
      </c>
      <c r="E114" t="s">
        <v>325</v>
      </c>
      <c r="F114" t="s">
        <v>2744</v>
      </c>
      <c r="G114" t="s">
        <v>468</v>
      </c>
      <c r="H114" t="s">
        <v>23</v>
      </c>
      <c r="I114" t="s">
        <v>77</v>
      </c>
      <c r="J114" t="s">
        <v>492</v>
      </c>
      <c r="K114" t="s">
        <v>493</v>
      </c>
      <c r="L114">
        <v>0</v>
      </c>
      <c r="M114">
        <v>41</v>
      </c>
      <c r="N114">
        <v>107000</v>
      </c>
      <c r="Q114" t="s">
        <v>494</v>
      </c>
      <c r="S114" t="s">
        <v>2525</v>
      </c>
      <c r="W114" t="s">
        <v>495</v>
      </c>
      <c r="Y114" t="s">
        <v>30</v>
      </c>
      <c r="Z114" t="s">
        <v>30</v>
      </c>
      <c r="AA114" t="s">
        <v>30</v>
      </c>
    </row>
    <row r="115" spans="1:27" x14ac:dyDescent="0.3">
      <c r="A115" t="s">
        <v>496</v>
      </c>
      <c r="B115" s="8">
        <v>46282.623217592591</v>
      </c>
      <c r="C115" t="s">
        <v>2</v>
      </c>
      <c r="D115" t="s">
        <v>469</v>
      </c>
      <c r="E115" t="s">
        <v>54</v>
      </c>
      <c r="F115" t="s">
        <v>2745</v>
      </c>
      <c r="G115" t="s">
        <v>468</v>
      </c>
      <c r="H115" t="s">
        <v>23</v>
      </c>
      <c r="I115" t="s">
        <v>51</v>
      </c>
      <c r="J115" t="s">
        <v>497</v>
      </c>
      <c r="K115" t="s">
        <v>498</v>
      </c>
      <c r="L115">
        <v>0</v>
      </c>
      <c r="M115">
        <v>175</v>
      </c>
      <c r="N115">
        <v>120000</v>
      </c>
      <c r="O115">
        <v>32.492249999999999</v>
      </c>
      <c r="P115">
        <v>35.679499999999997</v>
      </c>
      <c r="Q115" t="s">
        <v>499</v>
      </c>
      <c r="R115" t="s">
        <v>2746</v>
      </c>
      <c r="S115" t="s">
        <v>2579</v>
      </c>
      <c r="T115" t="s">
        <v>2747</v>
      </c>
      <c r="U115" t="s">
        <v>2748</v>
      </c>
      <c r="W115" t="s">
        <v>500</v>
      </c>
      <c r="Y115" t="s">
        <v>30</v>
      </c>
      <c r="Z115" t="str">
        <f>IF(NOT("https://truemarkets3d.net/3d-virtual-tour/housingbank-realestate/phase3/aq-lnd-100227/index.html" = ""), HYPERLINK("https://truemarkets3d.net/3d-virtual-tour/housingbank-realestate/phase3/aq-lnd-100227/index.html", "جولة"), "")</f>
        <v>جولة</v>
      </c>
      <c r="AA115" t="str">
        <f>IF(NOT("https://maps.app.goo.gl/GTbJz9ECJLSW5v8A7" = ""), HYPERLINK("https://maps.app.goo.gl/GTbJz9ECJLSW5v8A7", "موقع"), "")</f>
        <v>موقع</v>
      </c>
    </row>
    <row r="116" spans="1:27" x14ac:dyDescent="0.3">
      <c r="A116" t="s">
        <v>501</v>
      </c>
      <c r="B116" s="8">
        <v>46282.623217592591</v>
      </c>
      <c r="C116" t="s">
        <v>2</v>
      </c>
      <c r="D116" t="s">
        <v>469</v>
      </c>
      <c r="E116" t="s">
        <v>54</v>
      </c>
      <c r="F116" t="s">
        <v>2749</v>
      </c>
      <c r="G116" t="s">
        <v>468</v>
      </c>
      <c r="H116" t="s">
        <v>23</v>
      </c>
      <c r="I116" t="s">
        <v>51</v>
      </c>
      <c r="J116" t="s">
        <v>497</v>
      </c>
      <c r="K116" t="s">
        <v>502</v>
      </c>
      <c r="L116">
        <v>0</v>
      </c>
      <c r="M116">
        <v>46</v>
      </c>
      <c r="N116">
        <v>299000</v>
      </c>
      <c r="O116">
        <v>32.514667000000003</v>
      </c>
      <c r="P116">
        <v>35.628528000000003</v>
      </c>
      <c r="Q116" t="s">
        <v>503</v>
      </c>
      <c r="S116" t="s">
        <v>2525</v>
      </c>
      <c r="T116" t="s">
        <v>2750</v>
      </c>
      <c r="U116" t="s">
        <v>2751</v>
      </c>
      <c r="W116" t="s">
        <v>504</v>
      </c>
      <c r="Y116" t="s">
        <v>30</v>
      </c>
      <c r="Z116" t="s">
        <v>30</v>
      </c>
      <c r="AA116" t="str">
        <f>IF(NOT("https://maps.app.goo.gl/wFe8mHvW4oBTUnKr7" = ""), HYPERLINK("https://maps.app.goo.gl/wFe8mHvW4oBTUnKr7", "موقع"), "")</f>
        <v>موقع</v>
      </c>
    </row>
    <row r="117" spans="1:27" x14ac:dyDescent="0.3">
      <c r="A117" t="s">
        <v>505</v>
      </c>
      <c r="B117" s="8">
        <v>46282.623217592591</v>
      </c>
      <c r="C117" t="s">
        <v>2</v>
      </c>
      <c r="D117" t="s">
        <v>469</v>
      </c>
      <c r="E117" t="s">
        <v>508</v>
      </c>
      <c r="F117" t="s">
        <v>2752</v>
      </c>
      <c r="G117" t="s">
        <v>468</v>
      </c>
      <c r="H117" t="s">
        <v>23</v>
      </c>
      <c r="I117" t="s">
        <v>410</v>
      </c>
      <c r="J117" t="s">
        <v>506</v>
      </c>
      <c r="K117" t="s">
        <v>507</v>
      </c>
      <c r="L117">
        <v>0</v>
      </c>
      <c r="M117">
        <v>15</v>
      </c>
      <c r="Q117" t="s">
        <v>509</v>
      </c>
      <c r="S117" t="s">
        <v>2525</v>
      </c>
      <c r="Y117" t="s">
        <v>30</v>
      </c>
      <c r="Z117" t="s">
        <v>30</v>
      </c>
      <c r="AA117" t="s">
        <v>30</v>
      </c>
    </row>
    <row r="118" spans="1:27" x14ac:dyDescent="0.3">
      <c r="A118" t="s">
        <v>510</v>
      </c>
      <c r="B118" s="8">
        <v>46282.623217592591</v>
      </c>
      <c r="C118" t="s">
        <v>2</v>
      </c>
      <c r="D118" t="s">
        <v>469</v>
      </c>
      <c r="E118" t="s">
        <v>247</v>
      </c>
      <c r="F118" t="s">
        <v>2753</v>
      </c>
      <c r="G118" t="s">
        <v>468</v>
      </c>
      <c r="H118" t="s">
        <v>23</v>
      </c>
      <c r="I118" t="s">
        <v>24</v>
      </c>
      <c r="J118" t="s">
        <v>245</v>
      </c>
      <c r="K118" t="s">
        <v>511</v>
      </c>
      <c r="L118">
        <v>0</v>
      </c>
      <c r="M118">
        <v>183</v>
      </c>
      <c r="O118">
        <v>32.478361</v>
      </c>
      <c r="P118">
        <v>35.879638999999997</v>
      </c>
      <c r="Q118" t="s">
        <v>512</v>
      </c>
      <c r="S118" t="s">
        <v>2525</v>
      </c>
      <c r="T118" t="s">
        <v>2754</v>
      </c>
      <c r="U118" t="s">
        <v>2755</v>
      </c>
      <c r="Y118" t="s">
        <v>30</v>
      </c>
      <c r="Z118" t="s">
        <v>30</v>
      </c>
      <c r="AA118" t="str">
        <f>IF(NOT("https://maps.app.goo.gl/MSyZXNh45ZbK4AJR9" = ""), HYPERLINK("https://maps.app.goo.gl/MSyZXNh45ZbK4AJR9", "موقع"), "")</f>
        <v>موقع</v>
      </c>
    </row>
    <row r="119" spans="1:27" x14ac:dyDescent="0.3">
      <c r="A119" t="s">
        <v>513</v>
      </c>
      <c r="B119" s="8">
        <v>46282.623217592591</v>
      </c>
      <c r="C119" t="s">
        <v>2</v>
      </c>
      <c r="D119" t="s">
        <v>469</v>
      </c>
      <c r="E119" t="s">
        <v>478</v>
      </c>
      <c r="F119" t="s">
        <v>2756</v>
      </c>
      <c r="G119" t="s">
        <v>468</v>
      </c>
      <c r="H119" t="s">
        <v>23</v>
      </c>
      <c r="I119" t="s">
        <v>24</v>
      </c>
      <c r="J119" t="s">
        <v>476</v>
      </c>
      <c r="K119" t="s">
        <v>477</v>
      </c>
      <c r="L119">
        <v>0</v>
      </c>
      <c r="M119">
        <v>196</v>
      </c>
      <c r="O119">
        <v>32.531917</v>
      </c>
      <c r="P119">
        <v>35.771000000000001</v>
      </c>
      <c r="Q119" t="s">
        <v>514</v>
      </c>
      <c r="S119" t="s">
        <v>2525</v>
      </c>
      <c r="T119" t="s">
        <v>2757</v>
      </c>
      <c r="U119" t="s">
        <v>2758</v>
      </c>
      <c r="Y119" t="s">
        <v>30</v>
      </c>
      <c r="Z119" t="s">
        <v>30</v>
      </c>
      <c r="AA119" t="str">
        <f>IF(NOT("https://maps.app.goo.gl/tLr9oo68MBLNFzLNA" = ""), HYPERLINK("https://maps.app.goo.gl/tLr9oo68MBLNFzLNA", "موقع"), "")</f>
        <v>موقع</v>
      </c>
    </row>
    <row r="120" spans="1:27" x14ac:dyDescent="0.3">
      <c r="A120" t="s">
        <v>515</v>
      </c>
      <c r="B120" s="8">
        <v>46282.623217592591</v>
      </c>
      <c r="C120" t="s">
        <v>2</v>
      </c>
      <c r="D120" t="s">
        <v>516</v>
      </c>
      <c r="E120" t="s">
        <v>519</v>
      </c>
      <c r="F120" t="s">
        <v>2759</v>
      </c>
      <c r="G120" t="s">
        <v>468</v>
      </c>
      <c r="H120" t="s">
        <v>23</v>
      </c>
      <c r="I120" t="s">
        <v>124</v>
      </c>
      <c r="J120" t="s">
        <v>517</v>
      </c>
      <c r="K120" t="s">
        <v>518</v>
      </c>
      <c r="L120">
        <v>0</v>
      </c>
      <c r="M120">
        <v>27</v>
      </c>
      <c r="Q120" t="s">
        <v>520</v>
      </c>
      <c r="R120" t="s">
        <v>2760</v>
      </c>
      <c r="S120" t="s">
        <v>2579</v>
      </c>
      <c r="T120" t="s">
        <v>2761</v>
      </c>
      <c r="Y120" t="s">
        <v>30</v>
      </c>
      <c r="Z120" t="str">
        <f>IF(NOT("https://truemarkets3d.net/3d-virtual-tour/housingbank-realestate/phase3/aq-lnd-100294/index.html" = ""), HYPERLINK("https://truemarkets3d.net/3d-virtual-tour/housingbank-realestate/phase3/aq-lnd-100294/index.html", "جولة"), "")</f>
        <v>جولة</v>
      </c>
      <c r="AA120" t="s">
        <v>30</v>
      </c>
    </row>
    <row r="121" spans="1:27" x14ac:dyDescent="0.3">
      <c r="A121" t="s">
        <v>521</v>
      </c>
      <c r="B121" s="8">
        <v>46282.623217592591</v>
      </c>
      <c r="C121" t="s">
        <v>2</v>
      </c>
      <c r="D121" t="s">
        <v>522</v>
      </c>
      <c r="E121" t="s">
        <v>400</v>
      </c>
      <c r="F121" t="s">
        <v>2762</v>
      </c>
      <c r="G121" t="s">
        <v>296</v>
      </c>
      <c r="H121" t="s">
        <v>23</v>
      </c>
      <c r="I121" t="s">
        <v>124</v>
      </c>
      <c r="J121" t="s">
        <v>398</v>
      </c>
      <c r="K121" t="s">
        <v>523</v>
      </c>
      <c r="L121">
        <v>0</v>
      </c>
      <c r="M121">
        <v>721</v>
      </c>
      <c r="N121">
        <v>16000</v>
      </c>
      <c r="O121">
        <v>32.653500000000001</v>
      </c>
      <c r="P121">
        <v>35.719138999999998</v>
      </c>
      <c r="Q121" t="s">
        <v>524</v>
      </c>
      <c r="S121" t="s">
        <v>2525</v>
      </c>
      <c r="U121" t="s">
        <v>2763</v>
      </c>
      <c r="W121" t="s">
        <v>525</v>
      </c>
      <c r="Y121" t="s">
        <v>30</v>
      </c>
      <c r="Z121" t="s">
        <v>30</v>
      </c>
      <c r="AA121" t="str">
        <f>IF(NOT("https://maps.app.goo.gl/qccUBmfQyxV8jbS37" = ""), HYPERLINK("https://maps.app.goo.gl/qccUBmfQyxV8jbS37", "موقع"), "")</f>
        <v>موقع</v>
      </c>
    </row>
    <row r="122" spans="1:27" x14ac:dyDescent="0.3">
      <c r="A122" t="s">
        <v>526</v>
      </c>
      <c r="B122" s="8">
        <v>46282.623217592591</v>
      </c>
      <c r="C122" t="s">
        <v>2</v>
      </c>
      <c r="D122" t="s">
        <v>522</v>
      </c>
      <c r="E122" t="s">
        <v>291</v>
      </c>
      <c r="F122" t="s">
        <v>2764</v>
      </c>
      <c r="G122" t="s">
        <v>296</v>
      </c>
      <c r="H122" t="s">
        <v>23</v>
      </c>
      <c r="I122" t="s">
        <v>24</v>
      </c>
      <c r="J122" t="s">
        <v>527</v>
      </c>
      <c r="K122" t="s">
        <v>528</v>
      </c>
      <c r="L122">
        <v>0</v>
      </c>
      <c r="M122">
        <v>721</v>
      </c>
      <c r="N122">
        <v>43000</v>
      </c>
      <c r="O122">
        <v>32.616917000000001</v>
      </c>
      <c r="P122">
        <v>35.768999999999998</v>
      </c>
      <c r="Q122" t="s">
        <v>529</v>
      </c>
      <c r="S122" t="s">
        <v>2525</v>
      </c>
      <c r="U122" t="s">
        <v>2765</v>
      </c>
      <c r="W122" t="s">
        <v>530</v>
      </c>
      <c r="Y122" t="s">
        <v>30</v>
      </c>
      <c r="Z122" t="s">
        <v>30</v>
      </c>
      <c r="AA122" t="str">
        <f>IF(NOT("https://maps.app.goo.gl/jdP9mhJeqY1ZVuzt5" = ""), HYPERLINK("https://maps.app.goo.gl/jdP9mhJeqY1ZVuzt5", "موقع"), "")</f>
        <v>موقع</v>
      </c>
    </row>
    <row r="123" spans="1:27" x14ac:dyDescent="0.3">
      <c r="A123" t="s">
        <v>531</v>
      </c>
      <c r="B123" s="8">
        <v>46282.623217592591</v>
      </c>
      <c r="C123" t="s">
        <v>2</v>
      </c>
      <c r="D123" t="s">
        <v>532</v>
      </c>
      <c r="E123" t="s">
        <v>306</v>
      </c>
      <c r="F123" t="s">
        <v>2766</v>
      </c>
      <c r="G123" t="s">
        <v>296</v>
      </c>
      <c r="H123" t="s">
        <v>23</v>
      </c>
      <c r="I123" t="s">
        <v>182</v>
      </c>
      <c r="J123" t="s">
        <v>304</v>
      </c>
      <c r="K123" t="s">
        <v>533</v>
      </c>
      <c r="L123">
        <v>0</v>
      </c>
      <c r="M123">
        <v>305</v>
      </c>
      <c r="N123">
        <v>50000</v>
      </c>
      <c r="O123">
        <v>32.555971999999997</v>
      </c>
      <c r="P123">
        <v>36.016388999999997</v>
      </c>
      <c r="Q123" t="s">
        <v>534</v>
      </c>
      <c r="S123" t="s">
        <v>2525</v>
      </c>
      <c r="U123" t="s">
        <v>2767</v>
      </c>
      <c r="W123" t="s">
        <v>535</v>
      </c>
      <c r="Y123" t="s">
        <v>30</v>
      </c>
      <c r="Z123" t="s">
        <v>30</v>
      </c>
      <c r="AA123" t="str">
        <f>IF(NOT("https://maps.app.goo.gl/7LcX3touGJ2D87889" = ""), HYPERLINK("https://maps.app.goo.gl/7LcX3touGJ2D87889", "موقع"), "")</f>
        <v>موقع</v>
      </c>
    </row>
    <row r="124" spans="1:27" x14ac:dyDescent="0.3">
      <c r="A124" t="s">
        <v>536</v>
      </c>
      <c r="B124" s="8">
        <v>46282.623217592591</v>
      </c>
      <c r="C124" t="s">
        <v>2</v>
      </c>
      <c r="D124" t="s">
        <v>59</v>
      </c>
      <c r="E124" t="s">
        <v>541</v>
      </c>
      <c r="F124" t="s">
        <v>2768</v>
      </c>
      <c r="G124" t="s">
        <v>21</v>
      </c>
      <c r="H124" t="s">
        <v>537</v>
      </c>
      <c r="I124" t="s">
        <v>538</v>
      </c>
      <c r="J124" t="s">
        <v>539</v>
      </c>
      <c r="K124" t="s">
        <v>540</v>
      </c>
      <c r="L124">
        <v>-113</v>
      </c>
      <c r="M124">
        <v>300</v>
      </c>
      <c r="N124">
        <v>26000</v>
      </c>
      <c r="O124">
        <v>32.058110999999997</v>
      </c>
      <c r="P124">
        <v>35.722000000000001</v>
      </c>
      <c r="Q124" t="s">
        <v>542</v>
      </c>
      <c r="S124" t="s">
        <v>2525</v>
      </c>
      <c r="U124" t="s">
        <v>2769</v>
      </c>
      <c r="V124" t="s">
        <v>33</v>
      </c>
      <c r="W124" t="s">
        <v>543</v>
      </c>
      <c r="Y124" t="s">
        <v>30</v>
      </c>
      <c r="Z124" t="s">
        <v>30</v>
      </c>
      <c r="AA124" t="str">
        <f>IF(NOT("https://maps.app.goo.gl/6RndwJPwZpYGEEyaA" = ""), HYPERLINK("https://maps.app.goo.gl/6RndwJPwZpYGEEyaA", "موقع"), "")</f>
        <v>موقع</v>
      </c>
    </row>
    <row r="125" spans="1:27" x14ac:dyDescent="0.3">
      <c r="A125" t="s">
        <v>536</v>
      </c>
      <c r="B125" s="8">
        <v>46282.623217592591</v>
      </c>
      <c r="C125" t="s">
        <v>2</v>
      </c>
      <c r="D125" t="s">
        <v>59</v>
      </c>
      <c r="E125" t="s">
        <v>541</v>
      </c>
      <c r="F125" t="s">
        <v>2768</v>
      </c>
      <c r="G125" t="s">
        <v>21</v>
      </c>
      <c r="H125" t="s">
        <v>537</v>
      </c>
      <c r="I125" t="s">
        <v>538</v>
      </c>
      <c r="J125" t="s">
        <v>539</v>
      </c>
      <c r="K125" t="s">
        <v>540</v>
      </c>
      <c r="L125">
        <v>-113</v>
      </c>
      <c r="M125">
        <v>300</v>
      </c>
      <c r="N125">
        <v>26000</v>
      </c>
      <c r="O125">
        <v>32.058110999999997</v>
      </c>
      <c r="P125">
        <v>35.722000000000001</v>
      </c>
      <c r="Q125" t="s">
        <v>544</v>
      </c>
      <c r="S125" t="s">
        <v>2525</v>
      </c>
      <c r="U125" t="s">
        <v>2769</v>
      </c>
      <c r="V125" t="s">
        <v>33</v>
      </c>
      <c r="W125" t="s">
        <v>543</v>
      </c>
      <c r="Y125" t="s">
        <v>30</v>
      </c>
      <c r="Z125" t="s">
        <v>30</v>
      </c>
      <c r="AA125" t="str">
        <f>IF(NOT("https://maps.app.goo.gl/6RndwJPwZpYGEEyaA" = ""), HYPERLINK("https://maps.app.goo.gl/6RndwJPwZpYGEEyaA", "موقع"), "")</f>
        <v>موقع</v>
      </c>
    </row>
    <row r="126" spans="1:27" x14ac:dyDescent="0.3">
      <c r="A126" t="s">
        <v>545</v>
      </c>
      <c r="B126" s="8">
        <v>46282.623217592591</v>
      </c>
      <c r="C126" t="s">
        <v>2</v>
      </c>
      <c r="D126" t="s">
        <v>59</v>
      </c>
      <c r="E126" t="s">
        <v>547</v>
      </c>
      <c r="F126" t="s">
        <v>2770</v>
      </c>
      <c r="G126" t="s">
        <v>21</v>
      </c>
      <c r="H126" t="s">
        <v>537</v>
      </c>
      <c r="I126" t="s">
        <v>538</v>
      </c>
      <c r="J126" t="s">
        <v>539</v>
      </c>
      <c r="K126" t="s">
        <v>546</v>
      </c>
      <c r="L126">
        <v>-112</v>
      </c>
      <c r="M126">
        <v>1376</v>
      </c>
      <c r="N126">
        <v>50000</v>
      </c>
      <c r="O126">
        <v>32.055138999999997</v>
      </c>
      <c r="P126">
        <v>35.731693999999997</v>
      </c>
      <c r="Q126" t="s">
        <v>548</v>
      </c>
      <c r="R126" t="s">
        <v>2771</v>
      </c>
      <c r="S126" t="s">
        <v>2579</v>
      </c>
      <c r="U126" t="s">
        <v>2772</v>
      </c>
      <c r="V126" t="s">
        <v>33</v>
      </c>
      <c r="W126" t="s">
        <v>549</v>
      </c>
      <c r="X126" t="s">
        <v>2773</v>
      </c>
      <c r="Y126" t="str">
        <f>IF(NOT("https://youtu.be/xZ0pn7-7ITk" = ""), HYPERLINK("https://youtu.be/xZ0pn7-7ITk", "فيديو"), "")</f>
        <v>فيديو</v>
      </c>
      <c r="Z126" t="str">
        <f>IF(NOT("https://truemarkets3d.net/3d-virtual-tour/housingbank-realestate/phase3/aq-re-100660/index.html" = ""), HYPERLINK("https://truemarkets3d.net/3d-virtual-tour/housingbank-realestate/phase3/aq-re-100660/index.html", "جولة"), "")</f>
        <v>جولة</v>
      </c>
      <c r="AA126" t="str">
        <f>IF(NOT("https://maps.app.goo.gl/7L2MvjC9BBSDj8EC7" = ""), HYPERLINK("https://maps.app.goo.gl/7L2MvjC9BBSDj8EC7", "موقع"), "")</f>
        <v>موقع</v>
      </c>
    </row>
    <row r="127" spans="1:27" x14ac:dyDescent="0.3">
      <c r="A127" t="s">
        <v>550</v>
      </c>
      <c r="B127" s="8">
        <v>46282.623217592591</v>
      </c>
      <c r="C127" t="s">
        <v>2</v>
      </c>
      <c r="D127" t="s">
        <v>59</v>
      </c>
      <c r="E127" t="s">
        <v>541</v>
      </c>
      <c r="F127" t="s">
        <v>2774</v>
      </c>
      <c r="G127" t="s">
        <v>21</v>
      </c>
      <c r="H127" t="s">
        <v>537</v>
      </c>
      <c r="I127" t="s">
        <v>538</v>
      </c>
      <c r="J127" t="s">
        <v>539</v>
      </c>
      <c r="K127" t="s">
        <v>540</v>
      </c>
      <c r="L127">
        <v>-123</v>
      </c>
      <c r="M127">
        <v>282</v>
      </c>
      <c r="N127">
        <v>59000</v>
      </c>
      <c r="O127">
        <v>32.054721999999998</v>
      </c>
      <c r="P127">
        <v>35.725332999999999</v>
      </c>
      <c r="Q127" t="s">
        <v>211</v>
      </c>
      <c r="R127" t="s">
        <v>2775</v>
      </c>
      <c r="S127" t="s">
        <v>2579</v>
      </c>
      <c r="U127" t="s">
        <v>2776</v>
      </c>
      <c r="V127" t="s">
        <v>551</v>
      </c>
      <c r="W127" t="s">
        <v>552</v>
      </c>
      <c r="X127" t="s">
        <v>2777</v>
      </c>
      <c r="Y127" t="str">
        <f>IF(NOT("https://youtu.be/yv2fVCxQgQk" = ""), HYPERLINK("https://youtu.be/yv2fVCxQgQk", "فيديو"), "")</f>
        <v>فيديو</v>
      </c>
      <c r="Z127" t="str">
        <f>IF(NOT("https://truemarkets3d.net/3d-virtual-tour/housingbank-realestate/phase3/aq-re-100572/index.html" = ""), HYPERLINK("https://truemarkets3d.net/3d-virtual-tour/housingbank-realestate/phase3/aq-re-100572/index.html", "جولة"), "")</f>
        <v>جولة</v>
      </c>
      <c r="AA127" t="str">
        <f>IF(NOT("https://maps.app.goo.gl/8T2GeRGwHai9fGQ79" = ""), HYPERLINK("https://maps.app.goo.gl/8T2GeRGwHai9fGQ79", "موقع"), "")</f>
        <v>موقع</v>
      </c>
    </row>
    <row r="128" spans="1:27" x14ac:dyDescent="0.3">
      <c r="A128" t="s">
        <v>553</v>
      </c>
      <c r="B128" s="8">
        <v>46282.623217592591</v>
      </c>
      <c r="C128" t="s">
        <v>2</v>
      </c>
      <c r="D128" t="s">
        <v>59</v>
      </c>
      <c r="E128" t="s">
        <v>547</v>
      </c>
      <c r="F128" t="s">
        <v>2778</v>
      </c>
      <c r="G128" t="s">
        <v>21</v>
      </c>
      <c r="H128" t="s">
        <v>537</v>
      </c>
      <c r="I128" t="s">
        <v>538</v>
      </c>
      <c r="J128" t="s">
        <v>539</v>
      </c>
      <c r="K128" t="s">
        <v>546</v>
      </c>
      <c r="L128">
        <v>-101</v>
      </c>
      <c r="M128">
        <v>2384</v>
      </c>
      <c r="N128">
        <v>59000</v>
      </c>
      <c r="O128">
        <v>32.054110999999999</v>
      </c>
      <c r="P128">
        <v>35.735917000000001</v>
      </c>
      <c r="Q128" t="s">
        <v>554</v>
      </c>
      <c r="R128" t="s">
        <v>2779</v>
      </c>
      <c r="S128" t="s">
        <v>2579</v>
      </c>
      <c r="U128" t="s">
        <v>2780</v>
      </c>
      <c r="V128" t="s">
        <v>33</v>
      </c>
      <c r="W128" t="s">
        <v>555</v>
      </c>
      <c r="Y128" t="s">
        <v>30</v>
      </c>
      <c r="Z128" t="str">
        <f>IF(NOT("https://truemarkets3d.net/3d-virtual-tour/housingbank-realestate/phase3/aq-re-100698/index.html" = ""), HYPERLINK("https://truemarkets3d.net/3d-virtual-tour/housingbank-realestate/phase3/aq-re-100698/index.html", "جولة"), "")</f>
        <v>جولة</v>
      </c>
      <c r="AA128" t="str">
        <f>IF(NOT("https://maps.app.goo.gl/yvsNowNAet4CtjyT8" = ""), HYPERLINK("https://maps.app.goo.gl/yvsNowNAet4CtjyT8", "موقع"), "")</f>
        <v>موقع</v>
      </c>
    </row>
    <row r="129" spans="1:27" x14ac:dyDescent="0.3">
      <c r="A129" t="s">
        <v>556</v>
      </c>
      <c r="B129" s="8">
        <v>46282.623217592591</v>
      </c>
      <c r="C129" t="s">
        <v>2</v>
      </c>
      <c r="D129" t="s">
        <v>59</v>
      </c>
      <c r="E129" t="s">
        <v>547</v>
      </c>
      <c r="F129" t="s">
        <v>2781</v>
      </c>
      <c r="G129" t="s">
        <v>21</v>
      </c>
      <c r="H129" t="s">
        <v>537</v>
      </c>
      <c r="I129" t="s">
        <v>538</v>
      </c>
      <c r="J129" t="s">
        <v>539</v>
      </c>
      <c r="K129" t="s">
        <v>540</v>
      </c>
      <c r="L129">
        <v>-122</v>
      </c>
      <c r="M129">
        <v>282</v>
      </c>
      <c r="N129">
        <v>61000</v>
      </c>
      <c r="O129">
        <v>32.054721999999998</v>
      </c>
      <c r="P129">
        <v>35.725332999999999</v>
      </c>
      <c r="Q129" t="s">
        <v>557</v>
      </c>
      <c r="R129" t="s">
        <v>2782</v>
      </c>
      <c r="S129" t="s">
        <v>2579</v>
      </c>
      <c r="U129" t="s">
        <v>2776</v>
      </c>
      <c r="V129" t="s">
        <v>551</v>
      </c>
      <c r="W129" t="s">
        <v>552</v>
      </c>
      <c r="Y129" t="s">
        <v>30</v>
      </c>
      <c r="Z129" t="str">
        <f>IF(NOT("https://truemarkets3d.net/3d-virtual-tour/housingbank-realestate/phase3/aq-re-100105/index.html" = ""), HYPERLINK("https://truemarkets3d.net/3d-virtual-tour/housingbank-realestate/phase3/aq-re-100105/index.html", "جولة"), "")</f>
        <v>جولة</v>
      </c>
      <c r="AA129" t="str">
        <f>IF(NOT("https://maps.app.goo.gl/8T2GeRGwHai9fGQ79" = ""), HYPERLINK("https://maps.app.goo.gl/8T2GeRGwHai9fGQ79", "موقع"), "")</f>
        <v>موقع</v>
      </c>
    </row>
    <row r="130" spans="1:27" x14ac:dyDescent="0.3">
      <c r="A130" t="s">
        <v>558</v>
      </c>
      <c r="B130" s="8">
        <v>46282.623217592591</v>
      </c>
      <c r="C130" t="s">
        <v>2</v>
      </c>
      <c r="D130" t="s">
        <v>59</v>
      </c>
      <c r="E130" t="s">
        <v>547</v>
      </c>
      <c r="F130" t="s">
        <v>2783</v>
      </c>
      <c r="G130" t="s">
        <v>21</v>
      </c>
      <c r="H130" t="s">
        <v>537</v>
      </c>
      <c r="I130" t="s">
        <v>538</v>
      </c>
      <c r="J130" t="s">
        <v>539</v>
      </c>
      <c r="K130" t="s">
        <v>540</v>
      </c>
      <c r="L130">
        <v>-112</v>
      </c>
      <c r="M130">
        <v>282</v>
      </c>
      <c r="N130">
        <v>62000</v>
      </c>
      <c r="Q130" t="s">
        <v>559</v>
      </c>
      <c r="S130" t="s">
        <v>2525</v>
      </c>
      <c r="V130" t="s">
        <v>33</v>
      </c>
      <c r="W130" t="s">
        <v>560</v>
      </c>
      <c r="Y130" t="s">
        <v>30</v>
      </c>
      <c r="Z130" t="s">
        <v>30</v>
      </c>
      <c r="AA130" t="s">
        <v>30</v>
      </c>
    </row>
    <row r="131" spans="1:27" x14ac:dyDescent="0.3">
      <c r="A131" t="s">
        <v>561</v>
      </c>
      <c r="B131" s="8">
        <v>46282.623217592591</v>
      </c>
      <c r="C131" t="s">
        <v>2</v>
      </c>
      <c r="D131" t="s">
        <v>59</v>
      </c>
      <c r="E131" t="s">
        <v>541</v>
      </c>
      <c r="F131" t="s">
        <v>2784</v>
      </c>
      <c r="G131" t="s">
        <v>21</v>
      </c>
      <c r="H131" t="s">
        <v>537</v>
      </c>
      <c r="I131" t="s">
        <v>538</v>
      </c>
      <c r="J131" t="s">
        <v>539</v>
      </c>
      <c r="K131" t="s">
        <v>540</v>
      </c>
      <c r="L131">
        <v>101</v>
      </c>
      <c r="M131">
        <v>300</v>
      </c>
      <c r="N131">
        <v>62000</v>
      </c>
      <c r="O131">
        <v>32.058110999999997</v>
      </c>
      <c r="P131">
        <v>35.722000000000001</v>
      </c>
      <c r="Q131" t="s">
        <v>562</v>
      </c>
      <c r="R131" t="s">
        <v>2785</v>
      </c>
      <c r="S131" t="s">
        <v>2579</v>
      </c>
      <c r="U131" t="s">
        <v>2786</v>
      </c>
      <c r="V131" t="s">
        <v>28</v>
      </c>
      <c r="W131" t="s">
        <v>563</v>
      </c>
      <c r="Y131" t="s">
        <v>30</v>
      </c>
      <c r="Z131" t="str">
        <f>IF(NOT("https://truemarkets3d.net/3d-virtual-tour/housingbank-realestate/phase3/aq-re-100012/index.html" = ""), HYPERLINK("https://truemarkets3d.net/3d-virtual-tour/housingbank-realestate/phase3/aq-re-100012/index.html", "جولة"), "")</f>
        <v>جولة</v>
      </c>
      <c r="AA131" t="str">
        <f>IF(NOT("https://maps.app.goo.gl/Jx9oW4LuchHHL7Gw7" = ""), HYPERLINK("https://maps.app.goo.gl/Jx9oW4LuchHHL7Gw7", "موقع"), "")</f>
        <v>موقع</v>
      </c>
    </row>
    <row r="132" spans="1:27" x14ac:dyDescent="0.3">
      <c r="A132" t="s">
        <v>564</v>
      </c>
      <c r="B132" s="8">
        <v>46282.623217592591</v>
      </c>
      <c r="C132" t="s">
        <v>2</v>
      </c>
      <c r="D132" t="s">
        <v>59</v>
      </c>
      <c r="E132" t="s">
        <v>568</v>
      </c>
      <c r="F132" t="s">
        <v>2787</v>
      </c>
      <c r="G132" t="s">
        <v>21</v>
      </c>
      <c r="H132" t="s">
        <v>537</v>
      </c>
      <c r="I132" t="s">
        <v>565</v>
      </c>
      <c r="J132" t="s">
        <v>566</v>
      </c>
      <c r="K132" t="s">
        <v>567</v>
      </c>
      <c r="L132">
        <v>117</v>
      </c>
      <c r="M132">
        <v>857</v>
      </c>
      <c r="O132">
        <v>31.761472000000001</v>
      </c>
      <c r="P132">
        <v>35.587333000000001</v>
      </c>
      <c r="Q132" t="s">
        <v>569</v>
      </c>
      <c r="R132" t="s">
        <v>2788</v>
      </c>
      <c r="S132" t="s">
        <v>2525</v>
      </c>
      <c r="U132" t="s">
        <v>2789</v>
      </c>
      <c r="V132" t="s">
        <v>43</v>
      </c>
      <c r="Y132" t="s">
        <v>30</v>
      </c>
      <c r="Z132" t="str">
        <f t="shared" ref="Z132:Z141" si="0">IF(NOT("https://truemarkets3d.net/3d-virtual-tour/housingbank-realestate/phase3/aq-re-100393/index.html" = ""), HYPERLINK("https://truemarkets3d.net/3d-virtual-tour/housingbank-realestate/phase3/aq-re-100393/index.html", "جولة"), "")</f>
        <v>جولة</v>
      </c>
      <c r="AA132" t="str">
        <f>IF(NOT("https://maps.app.goo.gl/st6yJMPHUVDvTCzK8" = ""), HYPERLINK("https://maps.app.goo.gl/st6yJMPHUVDvTCzK8", "موقع"), "")</f>
        <v>موقع</v>
      </c>
    </row>
    <row r="133" spans="1:27" x14ac:dyDescent="0.3">
      <c r="A133" t="s">
        <v>570</v>
      </c>
      <c r="B133" s="8">
        <v>46282.623217592591</v>
      </c>
      <c r="C133" t="s">
        <v>2</v>
      </c>
      <c r="D133" t="s">
        <v>59</v>
      </c>
      <c r="E133" t="s">
        <v>568</v>
      </c>
      <c r="F133" t="s">
        <v>2790</v>
      </c>
      <c r="G133" t="s">
        <v>21</v>
      </c>
      <c r="H133" t="s">
        <v>537</v>
      </c>
      <c r="I133" t="s">
        <v>565</v>
      </c>
      <c r="J133" t="s">
        <v>566</v>
      </c>
      <c r="K133" t="s">
        <v>567</v>
      </c>
      <c r="L133">
        <v>114</v>
      </c>
      <c r="M133">
        <v>857</v>
      </c>
      <c r="O133">
        <v>31.761472000000001</v>
      </c>
      <c r="P133">
        <v>35.587333000000001</v>
      </c>
      <c r="Q133" t="s">
        <v>571</v>
      </c>
      <c r="R133" t="s">
        <v>2788</v>
      </c>
      <c r="S133" t="s">
        <v>2579</v>
      </c>
      <c r="U133" t="s">
        <v>2789</v>
      </c>
      <c r="V133" t="s">
        <v>43</v>
      </c>
      <c r="Y133" t="s">
        <v>30</v>
      </c>
      <c r="Z133" t="str">
        <f t="shared" si="0"/>
        <v>جولة</v>
      </c>
      <c r="AA133" t="str">
        <f>IF(NOT("https://maps.app.goo.gl/st6yJMPHUVDvTCzK8" = ""), HYPERLINK("https://maps.app.goo.gl/st6yJMPHUVDvTCzK8", "موقع"), "")</f>
        <v>موقع</v>
      </c>
    </row>
    <row r="134" spans="1:27" x14ac:dyDescent="0.3">
      <c r="A134" t="s">
        <v>572</v>
      </c>
      <c r="B134" s="8">
        <v>46282.623217592591</v>
      </c>
      <c r="C134" t="s">
        <v>2</v>
      </c>
      <c r="D134" t="s">
        <v>59</v>
      </c>
      <c r="E134" t="s">
        <v>568</v>
      </c>
      <c r="F134" t="s">
        <v>2791</v>
      </c>
      <c r="G134" t="s">
        <v>21</v>
      </c>
      <c r="H134" t="s">
        <v>537</v>
      </c>
      <c r="I134" t="s">
        <v>565</v>
      </c>
      <c r="J134" t="s">
        <v>566</v>
      </c>
      <c r="K134" t="s">
        <v>567</v>
      </c>
      <c r="L134">
        <v>123</v>
      </c>
      <c r="M134">
        <v>857</v>
      </c>
      <c r="Q134" t="s">
        <v>573</v>
      </c>
      <c r="R134" t="s">
        <v>2788</v>
      </c>
      <c r="S134" t="s">
        <v>2579</v>
      </c>
      <c r="V134" t="s">
        <v>73</v>
      </c>
      <c r="Y134" t="s">
        <v>30</v>
      </c>
      <c r="Z134" t="str">
        <f t="shared" si="0"/>
        <v>جولة</v>
      </c>
      <c r="AA134" t="s">
        <v>30</v>
      </c>
    </row>
    <row r="135" spans="1:27" x14ac:dyDescent="0.3">
      <c r="A135" t="s">
        <v>574</v>
      </c>
      <c r="B135" s="8">
        <v>46282.623217592591</v>
      </c>
      <c r="C135" t="s">
        <v>2</v>
      </c>
      <c r="D135" t="s">
        <v>59</v>
      </c>
      <c r="E135" t="s">
        <v>568</v>
      </c>
      <c r="F135" t="s">
        <v>2792</v>
      </c>
      <c r="G135" t="s">
        <v>21</v>
      </c>
      <c r="H135" t="s">
        <v>537</v>
      </c>
      <c r="I135" t="s">
        <v>565</v>
      </c>
      <c r="J135" t="s">
        <v>566</v>
      </c>
      <c r="K135" t="s">
        <v>567</v>
      </c>
      <c r="L135">
        <v>112</v>
      </c>
      <c r="M135">
        <v>857</v>
      </c>
      <c r="O135">
        <v>31.761472000000001</v>
      </c>
      <c r="P135">
        <v>35.587333000000001</v>
      </c>
      <c r="Q135" t="s">
        <v>575</v>
      </c>
      <c r="R135" t="s">
        <v>2788</v>
      </c>
      <c r="S135" t="s">
        <v>2579</v>
      </c>
      <c r="U135" t="s">
        <v>2789</v>
      </c>
      <c r="V135" t="s">
        <v>43</v>
      </c>
      <c r="Y135" t="s">
        <v>30</v>
      </c>
      <c r="Z135" t="str">
        <f t="shared" si="0"/>
        <v>جولة</v>
      </c>
      <c r="AA135" t="str">
        <f>IF(NOT("https://maps.app.goo.gl/st6yJMPHUVDvTCzK8" = ""), HYPERLINK("https://maps.app.goo.gl/st6yJMPHUVDvTCzK8", "موقع"), "")</f>
        <v>موقع</v>
      </c>
    </row>
    <row r="136" spans="1:27" x14ac:dyDescent="0.3">
      <c r="A136" t="s">
        <v>576</v>
      </c>
      <c r="B136" s="8">
        <v>46282.623217592591</v>
      </c>
      <c r="C136" t="s">
        <v>2</v>
      </c>
      <c r="D136" t="s">
        <v>59</v>
      </c>
      <c r="E136" t="s">
        <v>568</v>
      </c>
      <c r="F136" t="s">
        <v>2793</v>
      </c>
      <c r="G136" t="s">
        <v>21</v>
      </c>
      <c r="H136" t="s">
        <v>537</v>
      </c>
      <c r="I136" t="s">
        <v>565</v>
      </c>
      <c r="J136" t="s">
        <v>566</v>
      </c>
      <c r="K136" t="s">
        <v>567</v>
      </c>
      <c r="L136">
        <v>111</v>
      </c>
      <c r="M136">
        <v>857</v>
      </c>
      <c r="O136">
        <v>31.761472000000001</v>
      </c>
      <c r="P136">
        <v>35.587333000000001</v>
      </c>
      <c r="Q136" t="s">
        <v>577</v>
      </c>
      <c r="R136" t="s">
        <v>2788</v>
      </c>
      <c r="S136" t="s">
        <v>2579</v>
      </c>
      <c r="U136" t="s">
        <v>2789</v>
      </c>
      <c r="V136" t="s">
        <v>43</v>
      </c>
      <c r="Y136" t="s">
        <v>30</v>
      </c>
      <c r="Z136" t="str">
        <f t="shared" si="0"/>
        <v>جولة</v>
      </c>
      <c r="AA136" t="str">
        <f>IF(NOT("https://maps.app.goo.gl/st6yJMPHUVDvTCzK8" = ""), HYPERLINK("https://maps.app.goo.gl/st6yJMPHUVDvTCzK8", "موقع"), "")</f>
        <v>موقع</v>
      </c>
    </row>
    <row r="137" spans="1:27" x14ac:dyDescent="0.3">
      <c r="A137" t="s">
        <v>578</v>
      </c>
      <c r="B137" s="8">
        <v>46282.623217592591</v>
      </c>
      <c r="C137" t="s">
        <v>2</v>
      </c>
      <c r="D137" t="s">
        <v>59</v>
      </c>
      <c r="E137" t="s">
        <v>568</v>
      </c>
      <c r="F137" t="s">
        <v>2794</v>
      </c>
      <c r="G137" t="s">
        <v>21</v>
      </c>
      <c r="H137" t="s">
        <v>537</v>
      </c>
      <c r="I137" t="s">
        <v>565</v>
      </c>
      <c r="J137" t="s">
        <v>566</v>
      </c>
      <c r="K137" t="s">
        <v>567</v>
      </c>
      <c r="L137">
        <v>113</v>
      </c>
      <c r="M137">
        <v>857</v>
      </c>
      <c r="Q137" t="s">
        <v>573</v>
      </c>
      <c r="R137" t="s">
        <v>2788</v>
      </c>
      <c r="S137" t="s">
        <v>2579</v>
      </c>
      <c r="V137" t="s">
        <v>43</v>
      </c>
      <c r="Y137" t="s">
        <v>30</v>
      </c>
      <c r="Z137" t="str">
        <f t="shared" si="0"/>
        <v>جولة</v>
      </c>
      <c r="AA137" t="s">
        <v>30</v>
      </c>
    </row>
    <row r="138" spans="1:27" x14ac:dyDescent="0.3">
      <c r="A138" t="s">
        <v>579</v>
      </c>
      <c r="B138" s="8">
        <v>46282.623217592591</v>
      </c>
      <c r="C138" t="s">
        <v>2</v>
      </c>
      <c r="D138" t="s">
        <v>59</v>
      </c>
      <c r="E138" t="s">
        <v>568</v>
      </c>
      <c r="F138" t="s">
        <v>2795</v>
      </c>
      <c r="G138" t="s">
        <v>21</v>
      </c>
      <c r="H138" t="s">
        <v>537</v>
      </c>
      <c r="I138" t="s">
        <v>565</v>
      </c>
      <c r="J138" t="s">
        <v>566</v>
      </c>
      <c r="K138" t="s">
        <v>567</v>
      </c>
      <c r="L138">
        <v>105</v>
      </c>
      <c r="M138">
        <v>857</v>
      </c>
      <c r="Q138" t="s">
        <v>580</v>
      </c>
      <c r="R138" t="s">
        <v>2788</v>
      </c>
      <c r="S138" t="s">
        <v>2579</v>
      </c>
      <c r="V138" t="s">
        <v>28</v>
      </c>
      <c r="Y138" t="s">
        <v>30</v>
      </c>
      <c r="Z138" t="str">
        <f t="shared" si="0"/>
        <v>جولة</v>
      </c>
      <c r="AA138" t="s">
        <v>30</v>
      </c>
    </row>
    <row r="139" spans="1:27" x14ac:dyDescent="0.3">
      <c r="A139" t="s">
        <v>581</v>
      </c>
      <c r="B139" s="8">
        <v>46282.623217592591</v>
      </c>
      <c r="C139" t="s">
        <v>2</v>
      </c>
      <c r="D139" t="s">
        <v>59</v>
      </c>
      <c r="E139" t="s">
        <v>568</v>
      </c>
      <c r="F139" t="s">
        <v>2796</v>
      </c>
      <c r="G139" t="s">
        <v>21</v>
      </c>
      <c r="H139" t="s">
        <v>537</v>
      </c>
      <c r="I139" t="s">
        <v>565</v>
      </c>
      <c r="J139" t="s">
        <v>566</v>
      </c>
      <c r="K139" t="s">
        <v>567</v>
      </c>
      <c r="L139">
        <v>108</v>
      </c>
      <c r="M139">
        <v>857</v>
      </c>
      <c r="O139">
        <v>31.761472000000001</v>
      </c>
      <c r="P139">
        <v>35.587333000000001</v>
      </c>
      <c r="Q139" t="s">
        <v>582</v>
      </c>
      <c r="R139" t="s">
        <v>2788</v>
      </c>
      <c r="S139" t="s">
        <v>2579</v>
      </c>
      <c r="U139" t="s">
        <v>2789</v>
      </c>
      <c r="V139" t="s">
        <v>28</v>
      </c>
      <c r="Y139" t="s">
        <v>30</v>
      </c>
      <c r="Z139" t="str">
        <f t="shared" si="0"/>
        <v>جولة</v>
      </c>
      <c r="AA139" t="str">
        <f>IF(NOT("https://maps.app.goo.gl/st6yJMPHUVDvTCzK8" = ""), HYPERLINK("https://maps.app.goo.gl/st6yJMPHUVDvTCzK8", "موقع"), "")</f>
        <v>موقع</v>
      </c>
    </row>
    <row r="140" spans="1:27" x14ac:dyDescent="0.3">
      <c r="A140" t="s">
        <v>583</v>
      </c>
      <c r="B140" s="8">
        <v>46282.623217592591</v>
      </c>
      <c r="C140" t="s">
        <v>2</v>
      </c>
      <c r="D140" t="s">
        <v>59</v>
      </c>
      <c r="E140" t="s">
        <v>568</v>
      </c>
      <c r="F140" t="s">
        <v>2797</v>
      </c>
      <c r="G140" t="s">
        <v>21</v>
      </c>
      <c r="H140" t="s">
        <v>537</v>
      </c>
      <c r="I140" t="s">
        <v>565</v>
      </c>
      <c r="J140" t="s">
        <v>566</v>
      </c>
      <c r="K140" t="s">
        <v>567</v>
      </c>
      <c r="L140">
        <v>106</v>
      </c>
      <c r="M140">
        <v>857</v>
      </c>
      <c r="O140">
        <v>31.761472000000001</v>
      </c>
      <c r="P140">
        <v>35.587333000000001</v>
      </c>
      <c r="Q140" t="s">
        <v>584</v>
      </c>
      <c r="R140" t="s">
        <v>2788</v>
      </c>
      <c r="S140" t="s">
        <v>2525</v>
      </c>
      <c r="U140" t="s">
        <v>2789</v>
      </c>
      <c r="V140" t="s">
        <v>28</v>
      </c>
      <c r="Y140" t="s">
        <v>30</v>
      </c>
      <c r="Z140" t="str">
        <f t="shared" si="0"/>
        <v>جولة</v>
      </c>
      <c r="AA140" t="str">
        <f>IF(NOT("https://maps.app.goo.gl/st6yJMPHUVDvTCzK8" = ""), HYPERLINK("https://maps.app.goo.gl/st6yJMPHUVDvTCzK8", "موقع"), "")</f>
        <v>موقع</v>
      </c>
    </row>
    <row r="141" spans="1:27" x14ac:dyDescent="0.3">
      <c r="A141" t="s">
        <v>585</v>
      </c>
      <c r="B141" s="8">
        <v>46282.623217592591</v>
      </c>
      <c r="C141" t="s">
        <v>2</v>
      </c>
      <c r="D141" t="s">
        <v>59</v>
      </c>
      <c r="E141" t="s">
        <v>568</v>
      </c>
      <c r="F141" t="s">
        <v>2798</v>
      </c>
      <c r="G141" t="s">
        <v>21</v>
      </c>
      <c r="H141" t="s">
        <v>537</v>
      </c>
      <c r="I141" t="s">
        <v>565</v>
      </c>
      <c r="J141" t="s">
        <v>566</v>
      </c>
      <c r="K141" t="s">
        <v>567</v>
      </c>
      <c r="L141">
        <v>115</v>
      </c>
      <c r="M141">
        <v>857</v>
      </c>
      <c r="O141">
        <v>31.761472000000001</v>
      </c>
      <c r="P141">
        <v>35.587333000000001</v>
      </c>
      <c r="Q141" t="s">
        <v>580</v>
      </c>
      <c r="R141" t="s">
        <v>2788</v>
      </c>
      <c r="S141" t="s">
        <v>2579</v>
      </c>
      <c r="U141" t="s">
        <v>2789</v>
      </c>
      <c r="V141" t="s">
        <v>43</v>
      </c>
      <c r="Y141" t="s">
        <v>30</v>
      </c>
      <c r="Z141" t="str">
        <f t="shared" si="0"/>
        <v>جولة</v>
      </c>
      <c r="AA141" t="str">
        <f>IF(NOT("https://maps.app.goo.gl/st6yJMPHUVDvTCzK8" = ""), HYPERLINK("https://maps.app.goo.gl/st6yJMPHUVDvTCzK8", "موقع"), "")</f>
        <v>موقع</v>
      </c>
    </row>
    <row r="142" spans="1:27" x14ac:dyDescent="0.3">
      <c r="A142" t="s">
        <v>586</v>
      </c>
      <c r="B142" s="8">
        <v>46282.623217592591</v>
      </c>
      <c r="C142" t="s">
        <v>2</v>
      </c>
      <c r="D142" t="s">
        <v>59</v>
      </c>
      <c r="E142" t="s">
        <v>541</v>
      </c>
      <c r="F142" t="s">
        <v>2799</v>
      </c>
      <c r="G142" t="s">
        <v>21</v>
      </c>
      <c r="H142" t="s">
        <v>537</v>
      </c>
      <c r="I142" t="s">
        <v>538</v>
      </c>
      <c r="J142" t="s">
        <v>539</v>
      </c>
      <c r="K142" t="s">
        <v>540</v>
      </c>
      <c r="L142">
        <v>132</v>
      </c>
      <c r="M142">
        <v>300</v>
      </c>
      <c r="O142">
        <v>32.058110999999997</v>
      </c>
      <c r="P142">
        <v>35.722000000000001</v>
      </c>
      <c r="Q142" t="s">
        <v>587</v>
      </c>
      <c r="R142" t="s">
        <v>2800</v>
      </c>
      <c r="S142" t="s">
        <v>2579</v>
      </c>
      <c r="U142" t="s">
        <v>2769</v>
      </c>
      <c r="V142" t="s">
        <v>55</v>
      </c>
      <c r="X142" t="s">
        <v>2801</v>
      </c>
      <c r="Y142" t="str">
        <f>IF(NOT("https://youtu.be/PfMN3FxLFHg" = ""), HYPERLINK("https://youtu.be/PfMN3FxLFHg", "فيديو"), "")</f>
        <v>فيديو</v>
      </c>
      <c r="Z142" t="str">
        <f>IF(NOT("https://truemarkets3d.net/3d-virtual-tour/housingbank-realestate/phase3/aq-re-100656/index.html" = ""), HYPERLINK("https://truemarkets3d.net/3d-virtual-tour/housingbank-realestate/phase3/aq-re-100656/index.html", "جولة"), "")</f>
        <v>جولة</v>
      </c>
      <c r="AA142" t="str">
        <f>IF(NOT("https://maps.app.goo.gl/6RndwJPwZpYGEEyaA" = ""), HYPERLINK("https://maps.app.goo.gl/6RndwJPwZpYGEEyaA", "موقع"), "")</f>
        <v>موقع</v>
      </c>
    </row>
    <row r="143" spans="1:27" x14ac:dyDescent="0.3">
      <c r="A143" t="s">
        <v>588</v>
      </c>
      <c r="B143" s="8">
        <v>46282.623217592591</v>
      </c>
      <c r="C143" t="s">
        <v>2</v>
      </c>
      <c r="D143" t="s">
        <v>59</v>
      </c>
      <c r="E143" t="s">
        <v>568</v>
      </c>
      <c r="F143" t="s">
        <v>2802</v>
      </c>
      <c r="G143" t="s">
        <v>21</v>
      </c>
      <c r="H143" t="s">
        <v>537</v>
      </c>
      <c r="I143" t="s">
        <v>565</v>
      </c>
      <c r="J143" t="s">
        <v>566</v>
      </c>
      <c r="K143" t="s">
        <v>567</v>
      </c>
      <c r="L143">
        <v>124</v>
      </c>
      <c r="M143">
        <v>857</v>
      </c>
      <c r="O143">
        <v>31.761472000000001</v>
      </c>
      <c r="P143">
        <v>35.587333000000001</v>
      </c>
      <c r="Q143" t="s">
        <v>571</v>
      </c>
      <c r="R143" t="s">
        <v>2788</v>
      </c>
      <c r="S143" t="s">
        <v>2579</v>
      </c>
      <c r="U143" t="s">
        <v>2789</v>
      </c>
      <c r="V143" t="s">
        <v>73</v>
      </c>
      <c r="Y143" t="s">
        <v>30</v>
      </c>
      <c r="Z143" t="str">
        <f t="shared" ref="Z143:Z152" si="1">IF(NOT("https://truemarkets3d.net/3d-virtual-tour/housingbank-realestate/phase3/aq-re-100393/index.html" = ""), HYPERLINK("https://truemarkets3d.net/3d-virtual-tour/housingbank-realestate/phase3/aq-re-100393/index.html", "جولة"), "")</f>
        <v>جولة</v>
      </c>
      <c r="AA143" t="str">
        <f t="shared" ref="AA143:AA148" si="2">IF(NOT("https://maps.app.goo.gl/st6yJMPHUVDvTCzK8" = ""), HYPERLINK("https://maps.app.goo.gl/st6yJMPHUVDvTCzK8", "موقع"), "")</f>
        <v>موقع</v>
      </c>
    </row>
    <row r="144" spans="1:27" x14ac:dyDescent="0.3">
      <c r="A144" t="s">
        <v>589</v>
      </c>
      <c r="B144" s="8">
        <v>46282.623217592591</v>
      </c>
      <c r="C144" t="s">
        <v>2</v>
      </c>
      <c r="D144" t="s">
        <v>59</v>
      </c>
      <c r="E144" t="s">
        <v>568</v>
      </c>
      <c r="F144" t="s">
        <v>2803</v>
      </c>
      <c r="G144" t="s">
        <v>21</v>
      </c>
      <c r="H144" t="s">
        <v>537</v>
      </c>
      <c r="I144" t="s">
        <v>565</v>
      </c>
      <c r="J144" t="s">
        <v>566</v>
      </c>
      <c r="K144" t="s">
        <v>567</v>
      </c>
      <c r="L144">
        <v>121</v>
      </c>
      <c r="M144">
        <v>857</v>
      </c>
      <c r="O144">
        <v>31.761472000000001</v>
      </c>
      <c r="P144">
        <v>35.587333000000001</v>
      </c>
      <c r="Q144" t="s">
        <v>577</v>
      </c>
      <c r="R144" t="s">
        <v>2788</v>
      </c>
      <c r="S144" t="s">
        <v>2579</v>
      </c>
      <c r="U144" t="s">
        <v>2789</v>
      </c>
      <c r="V144" t="s">
        <v>73</v>
      </c>
      <c r="Y144" t="s">
        <v>30</v>
      </c>
      <c r="Z144" t="str">
        <f t="shared" si="1"/>
        <v>جولة</v>
      </c>
      <c r="AA144" t="str">
        <f t="shared" si="2"/>
        <v>موقع</v>
      </c>
    </row>
    <row r="145" spans="1:27" x14ac:dyDescent="0.3">
      <c r="A145" t="s">
        <v>590</v>
      </c>
      <c r="B145" s="8">
        <v>46282.623217592591</v>
      </c>
      <c r="C145" t="s">
        <v>2</v>
      </c>
      <c r="D145" t="s">
        <v>59</v>
      </c>
      <c r="E145" t="s">
        <v>568</v>
      </c>
      <c r="F145" t="s">
        <v>2804</v>
      </c>
      <c r="G145" t="s">
        <v>21</v>
      </c>
      <c r="H145" t="s">
        <v>537</v>
      </c>
      <c r="I145" t="s">
        <v>565</v>
      </c>
      <c r="J145" t="s">
        <v>566</v>
      </c>
      <c r="K145" t="s">
        <v>567</v>
      </c>
      <c r="L145">
        <v>122</v>
      </c>
      <c r="M145">
        <v>857</v>
      </c>
      <c r="O145">
        <v>31.761472000000001</v>
      </c>
      <c r="P145">
        <v>35.587333000000001</v>
      </c>
      <c r="Q145" t="s">
        <v>575</v>
      </c>
      <c r="R145" t="s">
        <v>2788</v>
      </c>
      <c r="S145" t="s">
        <v>2579</v>
      </c>
      <c r="U145" t="s">
        <v>2789</v>
      </c>
      <c r="V145" t="s">
        <v>73</v>
      </c>
      <c r="Y145" t="s">
        <v>30</v>
      </c>
      <c r="Z145" t="str">
        <f t="shared" si="1"/>
        <v>جولة</v>
      </c>
      <c r="AA145" t="str">
        <f t="shared" si="2"/>
        <v>موقع</v>
      </c>
    </row>
    <row r="146" spans="1:27" x14ac:dyDescent="0.3">
      <c r="A146" t="s">
        <v>591</v>
      </c>
      <c r="B146" s="8">
        <v>46282.623217592591</v>
      </c>
      <c r="C146" t="s">
        <v>2</v>
      </c>
      <c r="D146" t="s">
        <v>59</v>
      </c>
      <c r="E146" t="s">
        <v>568</v>
      </c>
      <c r="F146" t="s">
        <v>2805</v>
      </c>
      <c r="G146" t="s">
        <v>21</v>
      </c>
      <c r="H146" t="s">
        <v>537</v>
      </c>
      <c r="I146" t="s">
        <v>565</v>
      </c>
      <c r="J146" t="s">
        <v>566</v>
      </c>
      <c r="K146" t="s">
        <v>567</v>
      </c>
      <c r="L146">
        <v>104</v>
      </c>
      <c r="M146">
        <v>857</v>
      </c>
      <c r="O146">
        <v>31.761472000000001</v>
      </c>
      <c r="P146">
        <v>35.587333000000001</v>
      </c>
      <c r="Q146" t="s">
        <v>592</v>
      </c>
      <c r="R146" t="s">
        <v>2788</v>
      </c>
      <c r="S146" t="s">
        <v>2579</v>
      </c>
      <c r="U146" t="s">
        <v>2789</v>
      </c>
      <c r="V146" t="s">
        <v>28</v>
      </c>
      <c r="Y146" t="s">
        <v>30</v>
      </c>
      <c r="Z146" t="str">
        <f t="shared" si="1"/>
        <v>جولة</v>
      </c>
      <c r="AA146" t="str">
        <f t="shared" si="2"/>
        <v>موقع</v>
      </c>
    </row>
    <row r="147" spans="1:27" x14ac:dyDescent="0.3">
      <c r="A147" t="s">
        <v>593</v>
      </c>
      <c r="B147" s="8">
        <v>46282.623217592591</v>
      </c>
      <c r="C147" t="s">
        <v>2</v>
      </c>
      <c r="D147" t="s">
        <v>59</v>
      </c>
      <c r="E147" t="s">
        <v>568</v>
      </c>
      <c r="F147" t="s">
        <v>2806</v>
      </c>
      <c r="G147" t="s">
        <v>21</v>
      </c>
      <c r="H147" t="s">
        <v>537</v>
      </c>
      <c r="I147" t="s">
        <v>565</v>
      </c>
      <c r="J147" t="s">
        <v>566</v>
      </c>
      <c r="K147" t="s">
        <v>567</v>
      </c>
      <c r="L147">
        <v>107</v>
      </c>
      <c r="M147">
        <v>857</v>
      </c>
      <c r="O147">
        <v>31.761472000000001</v>
      </c>
      <c r="P147">
        <v>35.587333000000001</v>
      </c>
      <c r="Q147" t="s">
        <v>569</v>
      </c>
      <c r="R147" t="s">
        <v>2788</v>
      </c>
      <c r="S147" t="s">
        <v>2579</v>
      </c>
      <c r="U147" t="s">
        <v>2789</v>
      </c>
      <c r="V147" t="s">
        <v>28</v>
      </c>
      <c r="Y147" t="s">
        <v>30</v>
      </c>
      <c r="Z147" t="str">
        <f t="shared" si="1"/>
        <v>جولة</v>
      </c>
      <c r="AA147" t="str">
        <f t="shared" si="2"/>
        <v>موقع</v>
      </c>
    </row>
    <row r="148" spans="1:27" x14ac:dyDescent="0.3">
      <c r="A148" t="s">
        <v>594</v>
      </c>
      <c r="B148" s="8">
        <v>46282.623217592591</v>
      </c>
      <c r="C148" t="s">
        <v>2</v>
      </c>
      <c r="D148" t="s">
        <v>59</v>
      </c>
      <c r="E148" t="s">
        <v>568</v>
      </c>
      <c r="F148" t="s">
        <v>2807</v>
      </c>
      <c r="G148" t="s">
        <v>21</v>
      </c>
      <c r="H148" t="s">
        <v>537</v>
      </c>
      <c r="I148" t="s">
        <v>565</v>
      </c>
      <c r="J148" t="s">
        <v>566</v>
      </c>
      <c r="K148" t="s">
        <v>567</v>
      </c>
      <c r="L148">
        <v>101</v>
      </c>
      <c r="M148">
        <v>857</v>
      </c>
      <c r="O148">
        <v>31.761472000000001</v>
      </c>
      <c r="P148">
        <v>35.587333000000001</v>
      </c>
      <c r="Q148" t="s">
        <v>577</v>
      </c>
      <c r="R148" t="s">
        <v>2788</v>
      </c>
      <c r="S148" t="s">
        <v>2579</v>
      </c>
      <c r="U148" t="s">
        <v>2789</v>
      </c>
      <c r="V148" t="s">
        <v>28</v>
      </c>
      <c r="Y148" t="s">
        <v>30</v>
      </c>
      <c r="Z148" t="str">
        <f t="shared" si="1"/>
        <v>جولة</v>
      </c>
      <c r="AA148" t="str">
        <f t="shared" si="2"/>
        <v>موقع</v>
      </c>
    </row>
    <row r="149" spans="1:27" x14ac:dyDescent="0.3">
      <c r="A149" t="s">
        <v>595</v>
      </c>
      <c r="B149" s="8">
        <v>46282.623217592591</v>
      </c>
      <c r="C149" t="s">
        <v>2</v>
      </c>
      <c r="D149" t="s">
        <v>59</v>
      </c>
      <c r="E149" t="s">
        <v>568</v>
      </c>
      <c r="F149" t="s">
        <v>2808</v>
      </c>
      <c r="G149" t="s">
        <v>21</v>
      </c>
      <c r="H149" t="s">
        <v>537</v>
      </c>
      <c r="I149" t="s">
        <v>565</v>
      </c>
      <c r="J149" t="s">
        <v>566</v>
      </c>
      <c r="K149" t="s">
        <v>567</v>
      </c>
      <c r="L149">
        <v>103</v>
      </c>
      <c r="M149">
        <v>857</v>
      </c>
      <c r="Q149" t="s">
        <v>573</v>
      </c>
      <c r="R149" t="s">
        <v>2788</v>
      </c>
      <c r="S149" t="s">
        <v>2579</v>
      </c>
      <c r="V149" t="s">
        <v>28</v>
      </c>
      <c r="Y149" t="s">
        <v>30</v>
      </c>
      <c r="Z149" t="str">
        <f t="shared" si="1"/>
        <v>جولة</v>
      </c>
      <c r="AA149" t="s">
        <v>30</v>
      </c>
    </row>
    <row r="150" spans="1:27" x14ac:dyDescent="0.3">
      <c r="A150" t="s">
        <v>596</v>
      </c>
      <c r="B150" s="8">
        <v>46282.623217592591</v>
      </c>
      <c r="C150" t="s">
        <v>2</v>
      </c>
      <c r="D150" t="s">
        <v>59</v>
      </c>
      <c r="E150" t="s">
        <v>568</v>
      </c>
      <c r="F150" t="s">
        <v>2809</v>
      </c>
      <c r="G150" t="s">
        <v>21</v>
      </c>
      <c r="H150" t="s">
        <v>537</v>
      </c>
      <c r="I150" t="s">
        <v>565</v>
      </c>
      <c r="J150" t="s">
        <v>566</v>
      </c>
      <c r="K150" t="s">
        <v>567</v>
      </c>
      <c r="L150">
        <v>102</v>
      </c>
      <c r="M150">
        <v>857</v>
      </c>
      <c r="O150">
        <v>31.761472000000001</v>
      </c>
      <c r="P150">
        <v>35.587333000000001</v>
      </c>
      <c r="Q150" t="s">
        <v>575</v>
      </c>
      <c r="R150" t="s">
        <v>2788</v>
      </c>
      <c r="S150" t="s">
        <v>2579</v>
      </c>
      <c r="U150" t="s">
        <v>2789</v>
      </c>
      <c r="V150" t="s">
        <v>28</v>
      </c>
      <c r="Y150" t="s">
        <v>30</v>
      </c>
      <c r="Z150" t="str">
        <f t="shared" si="1"/>
        <v>جولة</v>
      </c>
      <c r="AA150" t="str">
        <f>IF(NOT("https://maps.app.goo.gl/st6yJMPHUVDvTCzK8" = ""), HYPERLINK("https://maps.app.goo.gl/st6yJMPHUVDvTCzK8", "موقع"), "")</f>
        <v>موقع</v>
      </c>
    </row>
    <row r="151" spans="1:27" x14ac:dyDescent="0.3">
      <c r="A151" t="s">
        <v>597</v>
      </c>
      <c r="B151" s="8">
        <v>46282.623217592591</v>
      </c>
      <c r="C151" t="s">
        <v>2</v>
      </c>
      <c r="D151" t="s">
        <v>59</v>
      </c>
      <c r="E151" t="s">
        <v>345</v>
      </c>
      <c r="F151" t="s">
        <v>2810</v>
      </c>
      <c r="G151" t="s">
        <v>21</v>
      </c>
      <c r="H151" t="s">
        <v>537</v>
      </c>
      <c r="I151" t="s">
        <v>565</v>
      </c>
      <c r="J151" t="s">
        <v>566</v>
      </c>
      <c r="K151" t="s">
        <v>567</v>
      </c>
      <c r="L151">
        <v>118</v>
      </c>
      <c r="M151">
        <v>857</v>
      </c>
      <c r="Q151" t="s">
        <v>582</v>
      </c>
      <c r="R151" t="s">
        <v>2788</v>
      </c>
      <c r="S151" t="s">
        <v>2579</v>
      </c>
      <c r="V151" t="s">
        <v>43</v>
      </c>
      <c r="Y151" t="s">
        <v>30</v>
      </c>
      <c r="Z151" t="str">
        <f t="shared" si="1"/>
        <v>جولة</v>
      </c>
      <c r="AA151" t="s">
        <v>30</v>
      </c>
    </row>
    <row r="152" spans="1:27" x14ac:dyDescent="0.3">
      <c r="A152" t="s">
        <v>598</v>
      </c>
      <c r="B152" s="8">
        <v>46282.623217592591</v>
      </c>
      <c r="C152" t="s">
        <v>2</v>
      </c>
      <c r="D152" t="s">
        <v>59</v>
      </c>
      <c r="E152" t="s">
        <v>568</v>
      </c>
      <c r="F152" t="s">
        <v>2811</v>
      </c>
      <c r="G152" t="s">
        <v>21</v>
      </c>
      <c r="H152" t="s">
        <v>537</v>
      </c>
      <c r="I152" t="s">
        <v>565</v>
      </c>
      <c r="J152" t="s">
        <v>566</v>
      </c>
      <c r="K152" t="s">
        <v>567</v>
      </c>
      <c r="L152">
        <v>116</v>
      </c>
      <c r="M152">
        <v>857</v>
      </c>
      <c r="Q152" t="s">
        <v>584</v>
      </c>
      <c r="R152" t="s">
        <v>2788</v>
      </c>
      <c r="S152" t="s">
        <v>2525</v>
      </c>
      <c r="V152" t="s">
        <v>43</v>
      </c>
      <c r="Y152" t="s">
        <v>30</v>
      </c>
      <c r="Z152" t="str">
        <f t="shared" si="1"/>
        <v>جولة</v>
      </c>
      <c r="AA152" t="s">
        <v>30</v>
      </c>
    </row>
    <row r="153" spans="1:27" x14ac:dyDescent="0.3">
      <c r="A153" t="s">
        <v>599</v>
      </c>
      <c r="B153" s="8">
        <v>46282.623217592591</v>
      </c>
      <c r="C153" t="s">
        <v>2</v>
      </c>
      <c r="D153" t="s">
        <v>315</v>
      </c>
      <c r="E153" t="s">
        <v>547</v>
      </c>
      <c r="F153" t="s">
        <v>2812</v>
      </c>
      <c r="G153" t="s">
        <v>296</v>
      </c>
      <c r="H153" t="s">
        <v>537</v>
      </c>
      <c r="I153" t="s">
        <v>538</v>
      </c>
      <c r="J153" t="s">
        <v>539</v>
      </c>
      <c r="K153" t="s">
        <v>600</v>
      </c>
      <c r="L153">
        <v>0</v>
      </c>
      <c r="M153">
        <v>33</v>
      </c>
      <c r="N153">
        <v>1000</v>
      </c>
      <c r="O153">
        <v>32.040638999999999</v>
      </c>
      <c r="P153">
        <v>35.727305999999999</v>
      </c>
      <c r="Q153" t="s">
        <v>601</v>
      </c>
      <c r="S153" t="s">
        <v>2525</v>
      </c>
      <c r="U153" t="s">
        <v>2813</v>
      </c>
      <c r="W153" t="s">
        <v>602</v>
      </c>
      <c r="Y153" t="s">
        <v>30</v>
      </c>
      <c r="Z153" t="s">
        <v>30</v>
      </c>
      <c r="AA153" t="str">
        <f>IF(NOT("https://maps.app.goo.gl/21hMGwEtcZe6gXuB7" = ""), HYPERLINK("https://maps.app.goo.gl/21hMGwEtcZe6gXuB7", "موقع"), "")</f>
        <v>موقع</v>
      </c>
    </row>
    <row r="154" spans="1:27" x14ac:dyDescent="0.3">
      <c r="A154" t="s">
        <v>603</v>
      </c>
      <c r="B154" s="8">
        <v>46282.623217592591</v>
      </c>
      <c r="C154" t="s">
        <v>2</v>
      </c>
      <c r="D154" t="s">
        <v>315</v>
      </c>
      <c r="E154" t="s">
        <v>606</v>
      </c>
      <c r="F154" t="s">
        <v>2814</v>
      </c>
      <c r="G154" t="s">
        <v>296</v>
      </c>
      <c r="H154" t="s">
        <v>537</v>
      </c>
      <c r="I154" t="s">
        <v>565</v>
      </c>
      <c r="J154" t="s">
        <v>604</v>
      </c>
      <c r="K154" t="s">
        <v>605</v>
      </c>
      <c r="L154">
        <v>0</v>
      </c>
      <c r="M154">
        <v>522</v>
      </c>
      <c r="N154">
        <v>23000</v>
      </c>
      <c r="O154">
        <v>31.831083</v>
      </c>
      <c r="P154">
        <v>35.658222000000002</v>
      </c>
      <c r="Q154" t="s">
        <v>607</v>
      </c>
      <c r="S154" t="s">
        <v>2525</v>
      </c>
      <c r="U154" t="s">
        <v>2815</v>
      </c>
      <c r="W154" t="s">
        <v>608</v>
      </c>
      <c r="Y154" t="s">
        <v>30</v>
      </c>
      <c r="Z154" t="s">
        <v>30</v>
      </c>
      <c r="AA154" t="str">
        <f>IF(NOT("https://maps.app.goo.gl/ywwSPGuWCw49182z5" = ""), HYPERLINK("https://maps.app.goo.gl/ywwSPGuWCw49182z5", "موقع"), "")</f>
        <v>موقع</v>
      </c>
    </row>
    <row r="155" spans="1:27" x14ac:dyDescent="0.3">
      <c r="A155" t="s">
        <v>609</v>
      </c>
      <c r="B155" s="8">
        <v>46282.623217592591</v>
      </c>
      <c r="C155" t="s">
        <v>2</v>
      </c>
      <c r="D155" t="s">
        <v>315</v>
      </c>
      <c r="E155" t="s">
        <v>606</v>
      </c>
      <c r="F155" t="s">
        <v>2816</v>
      </c>
      <c r="G155" t="s">
        <v>296</v>
      </c>
      <c r="H155" t="s">
        <v>537</v>
      </c>
      <c r="I155" t="s">
        <v>565</v>
      </c>
      <c r="J155" t="s">
        <v>610</v>
      </c>
      <c r="K155" t="s">
        <v>611</v>
      </c>
      <c r="L155">
        <v>0</v>
      </c>
      <c r="M155">
        <v>199</v>
      </c>
      <c r="N155">
        <v>31000</v>
      </c>
      <c r="O155">
        <v>31.953194</v>
      </c>
      <c r="P155">
        <v>35.575972</v>
      </c>
      <c r="Q155" t="s">
        <v>612</v>
      </c>
      <c r="S155" t="s">
        <v>2525</v>
      </c>
      <c r="U155" t="s">
        <v>2817</v>
      </c>
      <c r="W155" t="s">
        <v>613</v>
      </c>
      <c r="Y155" t="s">
        <v>30</v>
      </c>
      <c r="Z155" t="s">
        <v>30</v>
      </c>
      <c r="AA155" t="str">
        <f>IF(NOT("https://maps.app.goo.gl/knbKAjXgj6dbL4LRA" = ""), HYPERLINK("https://maps.app.goo.gl/knbKAjXgj6dbL4LRA", "موقع"), "")</f>
        <v>موقع</v>
      </c>
    </row>
    <row r="156" spans="1:27" x14ac:dyDescent="0.3">
      <c r="A156" t="s">
        <v>614</v>
      </c>
      <c r="B156" s="8">
        <v>46282.623217592591</v>
      </c>
      <c r="C156" t="s">
        <v>2</v>
      </c>
      <c r="D156" t="s">
        <v>315</v>
      </c>
      <c r="E156" t="s">
        <v>547</v>
      </c>
      <c r="F156" t="s">
        <v>2818</v>
      </c>
      <c r="G156" t="s">
        <v>296</v>
      </c>
      <c r="H156" t="s">
        <v>537</v>
      </c>
      <c r="I156" t="s">
        <v>565</v>
      </c>
      <c r="J156" t="s">
        <v>615</v>
      </c>
      <c r="K156" t="s">
        <v>616</v>
      </c>
      <c r="L156">
        <v>0</v>
      </c>
      <c r="M156">
        <v>625</v>
      </c>
      <c r="N156">
        <v>37000</v>
      </c>
      <c r="Q156" t="s">
        <v>617</v>
      </c>
      <c r="S156" t="s">
        <v>2525</v>
      </c>
      <c r="W156" t="s">
        <v>618</v>
      </c>
      <c r="Y156" t="s">
        <v>30</v>
      </c>
      <c r="Z156" t="s">
        <v>30</v>
      </c>
      <c r="AA156" t="s">
        <v>30</v>
      </c>
    </row>
    <row r="157" spans="1:27" x14ac:dyDescent="0.3">
      <c r="A157" t="s">
        <v>619</v>
      </c>
      <c r="B157" s="8">
        <v>46282.623217592591</v>
      </c>
      <c r="C157" t="s">
        <v>2</v>
      </c>
      <c r="D157" t="s">
        <v>315</v>
      </c>
      <c r="E157" t="s">
        <v>606</v>
      </c>
      <c r="F157" t="s">
        <v>2819</v>
      </c>
      <c r="G157" t="s">
        <v>296</v>
      </c>
      <c r="H157" t="s">
        <v>537</v>
      </c>
      <c r="I157" t="s">
        <v>565</v>
      </c>
      <c r="J157" t="s">
        <v>615</v>
      </c>
      <c r="K157" t="s">
        <v>620</v>
      </c>
      <c r="L157">
        <v>0</v>
      </c>
      <c r="M157">
        <v>2696</v>
      </c>
      <c r="N157">
        <v>41000</v>
      </c>
      <c r="O157">
        <v>31.913694</v>
      </c>
      <c r="P157">
        <v>35.603999999999999</v>
      </c>
      <c r="Q157" t="s">
        <v>621</v>
      </c>
      <c r="S157" t="s">
        <v>2525</v>
      </c>
      <c r="U157" t="s">
        <v>2820</v>
      </c>
      <c r="W157" t="s">
        <v>622</v>
      </c>
      <c r="Y157" t="s">
        <v>30</v>
      </c>
      <c r="Z157" t="s">
        <v>30</v>
      </c>
      <c r="AA157" t="str">
        <f>IF(NOT("https://maps.app.goo.gl/a5gfNksMteUj8qPn7" = ""), HYPERLINK("https://maps.app.goo.gl/a5gfNksMteUj8qPn7", "موقع"), "")</f>
        <v>موقع</v>
      </c>
    </row>
    <row r="158" spans="1:27" x14ac:dyDescent="0.3">
      <c r="A158" t="s">
        <v>623</v>
      </c>
      <c r="B158" s="8">
        <v>46282.623217592591</v>
      </c>
      <c r="C158" t="s">
        <v>2</v>
      </c>
      <c r="D158" t="s">
        <v>315</v>
      </c>
      <c r="E158" t="s">
        <v>625</v>
      </c>
      <c r="F158" t="s">
        <v>2821</v>
      </c>
      <c r="G158" t="s">
        <v>296</v>
      </c>
      <c r="H158" t="s">
        <v>537</v>
      </c>
      <c r="I158" t="s">
        <v>538</v>
      </c>
      <c r="J158" t="s">
        <v>539</v>
      </c>
      <c r="K158" t="s">
        <v>624</v>
      </c>
      <c r="L158">
        <v>0</v>
      </c>
      <c r="M158">
        <v>85</v>
      </c>
      <c r="N158">
        <v>53000</v>
      </c>
      <c r="O158">
        <v>32.042166999999999</v>
      </c>
      <c r="P158">
        <v>35.696221999999999</v>
      </c>
      <c r="Q158" t="s">
        <v>626</v>
      </c>
      <c r="S158" t="s">
        <v>2525</v>
      </c>
      <c r="U158" t="s">
        <v>2822</v>
      </c>
      <c r="W158" t="s">
        <v>627</v>
      </c>
      <c r="Y158" t="s">
        <v>30</v>
      </c>
      <c r="Z158" t="s">
        <v>30</v>
      </c>
      <c r="AA158" t="str">
        <f>IF(NOT("https://maps.app.goo.gl/a2JyeiPQoTnDutsu5" = ""), HYPERLINK("https://maps.app.goo.gl/a2JyeiPQoTnDutsu5", "موقع"), "")</f>
        <v>موقع</v>
      </c>
    </row>
    <row r="159" spans="1:27" x14ac:dyDescent="0.3">
      <c r="A159" t="s">
        <v>628</v>
      </c>
      <c r="B159" s="8">
        <v>46282.623217592591</v>
      </c>
      <c r="C159" t="s">
        <v>2</v>
      </c>
      <c r="D159" t="s">
        <v>315</v>
      </c>
      <c r="E159" t="s">
        <v>547</v>
      </c>
      <c r="F159" t="s">
        <v>2823</v>
      </c>
      <c r="G159" t="s">
        <v>296</v>
      </c>
      <c r="H159" t="s">
        <v>537</v>
      </c>
      <c r="I159" t="s">
        <v>538</v>
      </c>
      <c r="J159" t="s">
        <v>629</v>
      </c>
      <c r="K159" t="s">
        <v>630</v>
      </c>
      <c r="L159">
        <v>0</v>
      </c>
      <c r="M159">
        <v>121</v>
      </c>
      <c r="N159">
        <v>78000</v>
      </c>
      <c r="O159">
        <v>32.136277999999997</v>
      </c>
      <c r="P159">
        <v>35.752972</v>
      </c>
      <c r="Q159" t="s">
        <v>631</v>
      </c>
      <c r="S159" t="s">
        <v>2525</v>
      </c>
      <c r="U159" t="s">
        <v>2824</v>
      </c>
      <c r="W159" t="s">
        <v>632</v>
      </c>
      <c r="Y159" t="s">
        <v>30</v>
      </c>
      <c r="Z159" t="s">
        <v>30</v>
      </c>
      <c r="AA159" t="str">
        <f>IF(NOT("https://maps.app.goo.gl/hsuPpW1NdMPLGMrb9" = ""), HYPERLINK("https://maps.app.goo.gl/hsuPpW1NdMPLGMrb9", "موقع"), "")</f>
        <v>موقع</v>
      </c>
    </row>
    <row r="160" spans="1:27" x14ac:dyDescent="0.3">
      <c r="A160" t="s">
        <v>633</v>
      </c>
      <c r="B160" s="8">
        <v>46282.623217592591</v>
      </c>
      <c r="C160" t="s">
        <v>2</v>
      </c>
      <c r="D160" t="s">
        <v>315</v>
      </c>
      <c r="E160" t="s">
        <v>547</v>
      </c>
      <c r="F160" t="s">
        <v>2825</v>
      </c>
      <c r="G160" t="s">
        <v>296</v>
      </c>
      <c r="H160" t="s">
        <v>537</v>
      </c>
      <c r="I160" t="s">
        <v>538</v>
      </c>
      <c r="J160" t="s">
        <v>539</v>
      </c>
      <c r="K160" t="s">
        <v>634</v>
      </c>
      <c r="L160">
        <v>0</v>
      </c>
      <c r="M160">
        <v>187</v>
      </c>
      <c r="N160">
        <v>415000</v>
      </c>
      <c r="O160">
        <v>32.063277999999997</v>
      </c>
      <c r="P160">
        <v>35.751472</v>
      </c>
      <c r="Q160" t="s">
        <v>635</v>
      </c>
      <c r="S160" t="s">
        <v>2525</v>
      </c>
      <c r="U160" t="s">
        <v>2826</v>
      </c>
      <c r="W160" t="s">
        <v>636</v>
      </c>
      <c r="Y160" t="s">
        <v>30</v>
      </c>
      <c r="Z160" t="s">
        <v>30</v>
      </c>
      <c r="AA160" t="str">
        <f>IF(NOT("https://maps.app.goo.gl/Ya9YEaFjkS2haHkf9" = ""), HYPERLINK("https://maps.app.goo.gl/Ya9YEaFjkS2haHkf9", "موقع"), "")</f>
        <v>موقع</v>
      </c>
    </row>
    <row r="161" spans="1:27" x14ac:dyDescent="0.3">
      <c r="A161" t="s">
        <v>637</v>
      </c>
      <c r="B161" s="8">
        <v>46282.623217592591</v>
      </c>
      <c r="C161" t="s">
        <v>2</v>
      </c>
      <c r="D161" t="s">
        <v>315</v>
      </c>
      <c r="F161" t="s">
        <v>2827</v>
      </c>
      <c r="G161" t="s">
        <v>296</v>
      </c>
      <c r="H161" t="s">
        <v>537</v>
      </c>
      <c r="I161" t="s">
        <v>638</v>
      </c>
      <c r="J161" t="s">
        <v>639</v>
      </c>
      <c r="K161" t="s">
        <v>640</v>
      </c>
      <c r="L161">
        <v>0</v>
      </c>
      <c r="M161">
        <v>71</v>
      </c>
      <c r="Q161" t="s">
        <v>641</v>
      </c>
      <c r="R161" t="s">
        <v>2828</v>
      </c>
      <c r="S161" t="s">
        <v>2579</v>
      </c>
      <c r="T161" t="s">
        <v>2829</v>
      </c>
      <c r="Y161" t="s">
        <v>30</v>
      </c>
      <c r="Z161" t="str">
        <f>IF(NOT("https://truemarkets3d.net/3d-virtual-tour/housingbank-realestate/phase3/aq-lnd-100293/index.html" = ""), HYPERLINK("https://truemarkets3d.net/3d-virtual-tour/housingbank-realestate/phase3/aq-lnd-100293/index.html", "جولة"), "")</f>
        <v>جولة</v>
      </c>
      <c r="AA161" t="s">
        <v>30</v>
      </c>
    </row>
    <row r="162" spans="1:27" x14ac:dyDescent="0.3">
      <c r="A162" t="s">
        <v>642</v>
      </c>
      <c r="B162" s="8">
        <v>46282.623217592591</v>
      </c>
      <c r="C162" t="s">
        <v>2</v>
      </c>
      <c r="D162" t="s">
        <v>451</v>
      </c>
      <c r="E162" t="s">
        <v>644</v>
      </c>
      <c r="F162" t="s">
        <v>2830</v>
      </c>
      <c r="G162" t="s">
        <v>296</v>
      </c>
      <c r="H162" t="s">
        <v>537</v>
      </c>
      <c r="I162" t="s">
        <v>538</v>
      </c>
      <c r="J162" t="s">
        <v>539</v>
      </c>
      <c r="K162" t="s">
        <v>643</v>
      </c>
      <c r="L162">
        <v>0</v>
      </c>
      <c r="M162">
        <v>413</v>
      </c>
      <c r="N162">
        <v>547000</v>
      </c>
      <c r="O162">
        <v>32.040722000000002</v>
      </c>
      <c r="P162">
        <v>35.783194000000002</v>
      </c>
      <c r="Q162" t="s">
        <v>645</v>
      </c>
      <c r="R162" t="s">
        <v>2831</v>
      </c>
      <c r="S162" t="s">
        <v>2579</v>
      </c>
      <c r="U162" t="s">
        <v>2832</v>
      </c>
      <c r="W162" t="s">
        <v>646</v>
      </c>
      <c r="Y162" t="s">
        <v>30</v>
      </c>
      <c r="Z162" t="str">
        <f>IF(NOT("https://www.true-markets.net/media/360tour/housing-bank/413/index.html" = ""), HYPERLINK("https://www.true-markets.net/media/360tour/housing-bank/413/index.html", "جولة"), "")</f>
        <v>جولة</v>
      </c>
      <c r="AA162" t="str">
        <f>IF(NOT("https://maps.app.goo.gl/TP9Z9iRqcqTAfn4d6" = ""), HYPERLINK("https://maps.app.goo.gl/TP9Z9iRqcqTAfn4d6", "موقع"), "")</f>
        <v>موقع</v>
      </c>
    </row>
    <row r="163" spans="1:27" x14ac:dyDescent="0.3">
      <c r="A163" t="s">
        <v>647</v>
      </c>
      <c r="B163" s="8">
        <v>46282.623217592591</v>
      </c>
      <c r="C163" t="s">
        <v>2</v>
      </c>
      <c r="D163" t="s">
        <v>463</v>
      </c>
      <c r="E163" t="s">
        <v>547</v>
      </c>
      <c r="F163" t="s">
        <v>2833</v>
      </c>
      <c r="G163" t="s">
        <v>296</v>
      </c>
      <c r="H163" t="s">
        <v>537</v>
      </c>
      <c r="I163" t="s">
        <v>638</v>
      </c>
      <c r="J163" t="s">
        <v>639</v>
      </c>
      <c r="K163" t="s">
        <v>640</v>
      </c>
      <c r="L163">
        <v>0</v>
      </c>
      <c r="M163">
        <v>71</v>
      </c>
      <c r="N163">
        <v>95000</v>
      </c>
      <c r="O163">
        <v>32.173611000000001</v>
      </c>
      <c r="P163">
        <v>35.627667000000002</v>
      </c>
      <c r="Q163" t="s">
        <v>648</v>
      </c>
      <c r="R163" t="s">
        <v>2828</v>
      </c>
      <c r="S163" t="s">
        <v>2525</v>
      </c>
      <c r="U163" t="s">
        <v>2834</v>
      </c>
      <c r="W163" t="s">
        <v>649</v>
      </c>
      <c r="Y163" t="s">
        <v>30</v>
      </c>
      <c r="Z163" t="str">
        <f>IF(NOT("https://truemarkets3d.net/3d-virtual-tour/housingbank-realestate/phase3/aq-lnd-100293/index.html" = ""), HYPERLINK("https://truemarkets3d.net/3d-virtual-tour/housingbank-realestate/phase3/aq-lnd-100293/index.html", "جولة"), "")</f>
        <v>جولة</v>
      </c>
      <c r="AA163" t="str">
        <f>IF(NOT("https://maps.app.goo.gl/s4P155pLxiymNv7CA" = ""), HYPERLINK("https://maps.app.goo.gl/s4P155pLxiymNv7CA", "موقع"), "")</f>
        <v>موقع</v>
      </c>
    </row>
    <row r="164" spans="1:27" x14ac:dyDescent="0.3">
      <c r="A164" t="s">
        <v>647</v>
      </c>
      <c r="B164" s="8">
        <v>46282.623217592591</v>
      </c>
      <c r="C164" t="s">
        <v>2</v>
      </c>
      <c r="D164" t="s">
        <v>463</v>
      </c>
      <c r="E164" t="s">
        <v>547</v>
      </c>
      <c r="F164" t="s">
        <v>2833</v>
      </c>
      <c r="G164" t="s">
        <v>296</v>
      </c>
      <c r="H164" t="s">
        <v>537</v>
      </c>
      <c r="I164" t="s">
        <v>638</v>
      </c>
      <c r="J164" t="s">
        <v>639</v>
      </c>
      <c r="K164" t="s">
        <v>640</v>
      </c>
      <c r="L164">
        <v>0</v>
      </c>
      <c r="M164">
        <v>71</v>
      </c>
      <c r="N164">
        <v>95000</v>
      </c>
      <c r="O164">
        <v>32.173611000000001</v>
      </c>
      <c r="P164">
        <v>35.627667000000002</v>
      </c>
      <c r="Q164" t="s">
        <v>650</v>
      </c>
      <c r="R164" t="s">
        <v>2828</v>
      </c>
      <c r="S164" t="s">
        <v>2525</v>
      </c>
      <c r="U164" t="s">
        <v>2834</v>
      </c>
      <c r="W164" t="s">
        <v>649</v>
      </c>
      <c r="Y164" t="s">
        <v>30</v>
      </c>
      <c r="Z164" t="str">
        <f>IF(NOT("https://truemarkets3d.net/3d-virtual-tour/housingbank-realestate/phase3/aq-lnd-100293/index.html" = ""), HYPERLINK("https://truemarkets3d.net/3d-virtual-tour/housingbank-realestate/phase3/aq-lnd-100293/index.html", "جولة"), "")</f>
        <v>جولة</v>
      </c>
      <c r="AA164" t="str">
        <f>IF(NOT("https://maps.app.goo.gl/s4P155pLxiymNv7CA" = ""), HYPERLINK("https://maps.app.goo.gl/s4P155pLxiymNv7CA", "موقع"), "")</f>
        <v>موقع</v>
      </c>
    </row>
    <row r="165" spans="1:27" x14ac:dyDescent="0.3">
      <c r="A165" t="s">
        <v>647</v>
      </c>
      <c r="B165" s="8">
        <v>46282.623217592591</v>
      </c>
      <c r="C165" t="s">
        <v>2</v>
      </c>
      <c r="D165" t="s">
        <v>463</v>
      </c>
      <c r="E165" t="s">
        <v>547</v>
      </c>
      <c r="F165" t="s">
        <v>2833</v>
      </c>
      <c r="G165" t="s">
        <v>296</v>
      </c>
      <c r="H165" t="s">
        <v>537</v>
      </c>
      <c r="I165" t="s">
        <v>638</v>
      </c>
      <c r="J165" t="s">
        <v>639</v>
      </c>
      <c r="K165" t="s">
        <v>640</v>
      </c>
      <c r="L165">
        <v>0</v>
      </c>
      <c r="M165">
        <v>71</v>
      </c>
      <c r="N165">
        <v>95000</v>
      </c>
      <c r="O165">
        <v>32.173611000000001</v>
      </c>
      <c r="P165">
        <v>35.627667000000002</v>
      </c>
      <c r="Q165" t="s">
        <v>651</v>
      </c>
      <c r="R165" t="s">
        <v>2828</v>
      </c>
      <c r="S165" t="s">
        <v>2525</v>
      </c>
      <c r="U165" t="s">
        <v>2834</v>
      </c>
      <c r="W165" t="s">
        <v>649</v>
      </c>
      <c r="Y165" t="s">
        <v>30</v>
      </c>
      <c r="Z165" t="str">
        <f>IF(NOT("https://truemarkets3d.net/3d-virtual-tour/housingbank-realestate/phase3/aq-lnd-100293/index.html" = ""), HYPERLINK("https://truemarkets3d.net/3d-virtual-tour/housingbank-realestate/phase3/aq-lnd-100293/index.html", "جولة"), "")</f>
        <v>جولة</v>
      </c>
      <c r="AA165" t="str">
        <f>IF(NOT("https://maps.app.goo.gl/s4P155pLxiymNv7CA" = ""), HYPERLINK("https://maps.app.goo.gl/s4P155pLxiymNv7CA", "موقع"), "")</f>
        <v>موقع</v>
      </c>
    </row>
    <row r="166" spans="1:27" x14ac:dyDescent="0.3">
      <c r="A166" t="s">
        <v>652</v>
      </c>
      <c r="B166" s="8">
        <v>46282.623217592591</v>
      </c>
      <c r="C166" t="s">
        <v>2</v>
      </c>
      <c r="D166" t="s">
        <v>463</v>
      </c>
      <c r="E166" t="s">
        <v>547</v>
      </c>
      <c r="F166" t="s">
        <v>2835</v>
      </c>
      <c r="G166" t="s">
        <v>296</v>
      </c>
      <c r="H166" t="s">
        <v>537</v>
      </c>
      <c r="I166" t="s">
        <v>538</v>
      </c>
      <c r="J166" t="s">
        <v>539</v>
      </c>
      <c r="K166" t="s">
        <v>653</v>
      </c>
      <c r="L166">
        <v>0</v>
      </c>
      <c r="M166">
        <v>40</v>
      </c>
      <c r="O166">
        <v>32.073</v>
      </c>
      <c r="P166">
        <v>35.730832999999997</v>
      </c>
      <c r="Q166" t="s">
        <v>654</v>
      </c>
      <c r="S166" t="s">
        <v>2525</v>
      </c>
      <c r="U166" t="s">
        <v>2836</v>
      </c>
      <c r="Y166" t="s">
        <v>30</v>
      </c>
      <c r="Z166" t="s">
        <v>30</v>
      </c>
      <c r="AA166" t="str">
        <f>IF(NOT("https://maps.app.goo.gl/vT5nbsBdYxuwVCdS6" = ""), HYPERLINK("https://maps.app.goo.gl/vT5nbsBdYxuwVCdS6", "موقع"), "")</f>
        <v>موقع</v>
      </c>
    </row>
    <row r="167" spans="1:27" x14ac:dyDescent="0.3">
      <c r="A167" t="s">
        <v>655</v>
      </c>
      <c r="B167" s="8">
        <v>46282.623217592591</v>
      </c>
      <c r="C167" t="s">
        <v>2</v>
      </c>
      <c r="D167" t="s">
        <v>469</v>
      </c>
      <c r="E167" t="s">
        <v>568</v>
      </c>
      <c r="F167" t="s">
        <v>2837</v>
      </c>
      <c r="G167" t="s">
        <v>468</v>
      </c>
      <c r="H167" t="s">
        <v>537</v>
      </c>
      <c r="I167" t="s">
        <v>565</v>
      </c>
      <c r="J167" t="s">
        <v>566</v>
      </c>
      <c r="K167" t="s">
        <v>567</v>
      </c>
      <c r="L167">
        <v>0</v>
      </c>
      <c r="M167">
        <v>1029</v>
      </c>
      <c r="N167">
        <v>20000</v>
      </c>
      <c r="O167">
        <v>31.762111000000001</v>
      </c>
      <c r="P167">
        <v>35.596305999999998</v>
      </c>
      <c r="Q167" t="s">
        <v>656</v>
      </c>
      <c r="R167" t="s">
        <v>2788</v>
      </c>
      <c r="S167" t="s">
        <v>2525</v>
      </c>
      <c r="T167" t="s">
        <v>2838</v>
      </c>
      <c r="U167" t="s">
        <v>2839</v>
      </c>
      <c r="W167" t="s">
        <v>657</v>
      </c>
      <c r="Y167" t="s">
        <v>30</v>
      </c>
      <c r="Z167" t="str">
        <f>IF(NOT("https://truemarkets3d.net/3d-virtual-tour/housingbank-realestate/phase3/aq-re-100393/index.html" = ""), HYPERLINK("https://truemarkets3d.net/3d-virtual-tour/housingbank-realestate/phase3/aq-re-100393/index.html", "جولة"), "")</f>
        <v>جولة</v>
      </c>
      <c r="AA167" t="str">
        <f>IF(NOT("https://maps.app.goo.gl/PtGf9AVBkxouppTQ6" = ""), HYPERLINK("https://maps.app.goo.gl/PtGf9AVBkxouppTQ6", "موقع"), "")</f>
        <v>موقع</v>
      </c>
    </row>
    <row r="168" spans="1:27" x14ac:dyDescent="0.3">
      <c r="A168" t="s">
        <v>658</v>
      </c>
      <c r="B168" s="8">
        <v>46282.623217592591</v>
      </c>
      <c r="C168" t="s">
        <v>2</v>
      </c>
      <c r="D168" t="s">
        <v>469</v>
      </c>
      <c r="E168" t="s">
        <v>568</v>
      </c>
      <c r="F168" t="s">
        <v>2840</v>
      </c>
      <c r="G168" t="s">
        <v>468</v>
      </c>
      <c r="H168" t="s">
        <v>537</v>
      </c>
      <c r="I168" t="s">
        <v>565</v>
      </c>
      <c r="J168" t="s">
        <v>566</v>
      </c>
      <c r="K168" t="s">
        <v>567</v>
      </c>
      <c r="L168">
        <v>0</v>
      </c>
      <c r="M168">
        <v>1030</v>
      </c>
      <c r="N168">
        <v>20000</v>
      </c>
      <c r="O168">
        <v>31.762139000000001</v>
      </c>
      <c r="P168">
        <v>35.596249999999998</v>
      </c>
      <c r="Q168" t="s">
        <v>656</v>
      </c>
      <c r="R168" t="s">
        <v>2788</v>
      </c>
      <c r="S168" t="s">
        <v>2525</v>
      </c>
      <c r="T168" t="s">
        <v>2841</v>
      </c>
      <c r="U168" t="s">
        <v>2842</v>
      </c>
      <c r="W168" t="s">
        <v>659</v>
      </c>
      <c r="Y168" t="s">
        <v>30</v>
      </c>
      <c r="Z168" t="str">
        <f>IF(NOT("https://truemarkets3d.net/3d-virtual-tour/housingbank-realestate/phase3/aq-re-100393/index.html" = ""), HYPERLINK("https://truemarkets3d.net/3d-virtual-tour/housingbank-realestate/phase3/aq-re-100393/index.html", "جولة"), "")</f>
        <v>جولة</v>
      </c>
      <c r="AA168" t="str">
        <f>IF(NOT("https://maps.app.goo.gl/BUJsxtcTZ6v2LhbFA" = ""), HYPERLINK("https://maps.app.goo.gl/BUJsxtcTZ6v2LhbFA", "موقع"), "")</f>
        <v>موقع</v>
      </c>
    </row>
    <row r="169" spans="1:27" x14ac:dyDescent="0.3">
      <c r="A169" t="s">
        <v>660</v>
      </c>
      <c r="B169" s="8">
        <v>46282.623217592591</v>
      </c>
      <c r="C169" t="s">
        <v>2</v>
      </c>
      <c r="D169" t="s">
        <v>469</v>
      </c>
      <c r="E169" t="s">
        <v>568</v>
      </c>
      <c r="F169" t="s">
        <v>2837</v>
      </c>
      <c r="G169" t="s">
        <v>468</v>
      </c>
      <c r="H169" t="s">
        <v>537</v>
      </c>
      <c r="I169" t="s">
        <v>565</v>
      </c>
      <c r="J169" t="s">
        <v>566</v>
      </c>
      <c r="K169" t="s">
        <v>567</v>
      </c>
      <c r="L169">
        <v>0</v>
      </c>
      <c r="M169">
        <v>1028</v>
      </c>
      <c r="N169">
        <v>20000</v>
      </c>
      <c r="O169">
        <v>31.761917</v>
      </c>
      <c r="P169">
        <v>35.596221999999997</v>
      </c>
      <c r="Q169" t="s">
        <v>656</v>
      </c>
      <c r="R169" t="s">
        <v>2788</v>
      </c>
      <c r="S169" t="s">
        <v>2525</v>
      </c>
      <c r="T169" t="s">
        <v>2843</v>
      </c>
      <c r="U169" t="s">
        <v>2844</v>
      </c>
      <c r="W169" t="s">
        <v>657</v>
      </c>
      <c r="Y169" t="s">
        <v>30</v>
      </c>
      <c r="Z169" t="str">
        <f>IF(NOT("https://truemarkets3d.net/3d-virtual-tour/housingbank-realestate/phase3/aq-re-100393/index.html" = ""), HYPERLINK("https://truemarkets3d.net/3d-virtual-tour/housingbank-realestate/phase3/aq-re-100393/index.html", "جولة"), "")</f>
        <v>جولة</v>
      </c>
      <c r="AA169" t="str">
        <f>IF(NOT("https://maps.app.goo.gl/gF16esqLTh2gm6z58" = ""), HYPERLINK("https://maps.app.goo.gl/gF16esqLTh2gm6z58", "موقع"), "")</f>
        <v>موقع</v>
      </c>
    </row>
    <row r="170" spans="1:27" x14ac:dyDescent="0.3">
      <c r="A170" t="s">
        <v>661</v>
      </c>
      <c r="B170" s="8">
        <v>46282.623217592591</v>
      </c>
      <c r="C170" t="s">
        <v>2</v>
      </c>
      <c r="D170" t="s">
        <v>469</v>
      </c>
      <c r="E170" t="s">
        <v>664</v>
      </c>
      <c r="F170" t="s">
        <v>2845</v>
      </c>
      <c r="G170" t="s">
        <v>468</v>
      </c>
      <c r="H170" t="s">
        <v>537</v>
      </c>
      <c r="I170" t="s">
        <v>538</v>
      </c>
      <c r="J170" t="s">
        <v>662</v>
      </c>
      <c r="K170" t="s">
        <v>663</v>
      </c>
      <c r="L170">
        <v>0</v>
      </c>
      <c r="M170">
        <v>151</v>
      </c>
      <c r="N170">
        <v>22000</v>
      </c>
      <c r="O170">
        <v>32.118056000000003</v>
      </c>
      <c r="P170">
        <v>35.738444000000001</v>
      </c>
      <c r="Q170" t="s">
        <v>665</v>
      </c>
      <c r="S170" t="s">
        <v>2525</v>
      </c>
      <c r="T170" t="s">
        <v>2846</v>
      </c>
      <c r="U170" t="s">
        <v>2847</v>
      </c>
      <c r="W170" t="s">
        <v>666</v>
      </c>
      <c r="Y170" t="s">
        <v>30</v>
      </c>
      <c r="Z170" t="s">
        <v>30</v>
      </c>
      <c r="AA170" t="str">
        <f>IF(NOT("https://maps.app.goo.gl/kZpH61LGfRkMrLKi6" = ""), HYPERLINK("https://maps.app.goo.gl/kZpH61LGfRkMrLKi6", "موقع"), "")</f>
        <v>موقع</v>
      </c>
    </row>
    <row r="171" spans="1:27" x14ac:dyDescent="0.3">
      <c r="A171" t="s">
        <v>667</v>
      </c>
      <c r="B171" s="8">
        <v>46282.623217592591</v>
      </c>
      <c r="C171" t="s">
        <v>2</v>
      </c>
      <c r="D171" t="s">
        <v>469</v>
      </c>
      <c r="E171" t="s">
        <v>547</v>
      </c>
      <c r="F171" t="s">
        <v>2848</v>
      </c>
      <c r="G171" t="s">
        <v>468</v>
      </c>
      <c r="H171" t="s">
        <v>537</v>
      </c>
      <c r="I171" t="s">
        <v>538</v>
      </c>
      <c r="J171" t="s">
        <v>668</v>
      </c>
      <c r="K171" t="s">
        <v>669</v>
      </c>
      <c r="L171">
        <v>0</v>
      </c>
      <c r="M171">
        <v>123</v>
      </c>
      <c r="N171">
        <v>29000</v>
      </c>
      <c r="O171">
        <v>32.123389000000003</v>
      </c>
      <c r="P171">
        <v>35.731250000000003</v>
      </c>
      <c r="Q171" t="s">
        <v>670</v>
      </c>
      <c r="S171" t="s">
        <v>2525</v>
      </c>
      <c r="T171" t="s">
        <v>2849</v>
      </c>
      <c r="U171" t="s">
        <v>2850</v>
      </c>
      <c r="W171" t="s">
        <v>671</v>
      </c>
      <c r="Y171" t="s">
        <v>30</v>
      </c>
      <c r="Z171" t="s">
        <v>30</v>
      </c>
      <c r="AA171" t="str">
        <f>IF(NOT("https://maps.app.goo.gl/PKzqrQdSNAr7rMaD6" = ""), HYPERLINK("https://maps.app.goo.gl/PKzqrQdSNAr7rMaD6", "موقع"), "")</f>
        <v>موقع</v>
      </c>
    </row>
    <row r="172" spans="1:27" x14ac:dyDescent="0.3">
      <c r="A172" t="s">
        <v>672</v>
      </c>
      <c r="B172" s="8">
        <v>46282.623217592591</v>
      </c>
      <c r="C172" t="s">
        <v>2</v>
      </c>
      <c r="D172" t="s">
        <v>469</v>
      </c>
      <c r="E172" t="s">
        <v>568</v>
      </c>
      <c r="F172" t="s">
        <v>2837</v>
      </c>
      <c r="G172" t="s">
        <v>468</v>
      </c>
      <c r="H172" t="s">
        <v>537</v>
      </c>
      <c r="I172" t="s">
        <v>565</v>
      </c>
      <c r="J172" t="s">
        <v>566</v>
      </c>
      <c r="K172" t="s">
        <v>567</v>
      </c>
      <c r="L172">
        <v>0</v>
      </c>
      <c r="M172">
        <v>998</v>
      </c>
      <c r="N172">
        <v>34000</v>
      </c>
      <c r="O172">
        <v>31.762167000000002</v>
      </c>
      <c r="P172">
        <v>35.595111000000003</v>
      </c>
      <c r="Q172" t="s">
        <v>673</v>
      </c>
      <c r="R172" t="s">
        <v>2788</v>
      </c>
      <c r="S172" t="s">
        <v>2525</v>
      </c>
      <c r="T172" t="s">
        <v>2851</v>
      </c>
      <c r="U172" t="s">
        <v>2852</v>
      </c>
      <c r="W172" t="s">
        <v>674</v>
      </c>
      <c r="Y172" t="s">
        <v>30</v>
      </c>
      <c r="Z172" t="str">
        <f>IF(NOT("https://truemarkets3d.net/3d-virtual-tour/housingbank-realestate/phase3/aq-re-100393/index.html" = ""), HYPERLINK("https://truemarkets3d.net/3d-virtual-tour/housingbank-realestate/phase3/aq-re-100393/index.html", "جولة"), "")</f>
        <v>جولة</v>
      </c>
      <c r="AA172" t="str">
        <f>IF(NOT("https://maps.app.goo.gl/ELEPRu9hwMySenZL7" = ""), HYPERLINK("https://maps.app.goo.gl/ELEPRu9hwMySenZL7", "موقع"), "")</f>
        <v>موقع</v>
      </c>
    </row>
    <row r="173" spans="1:27" x14ac:dyDescent="0.3">
      <c r="A173" t="s">
        <v>675</v>
      </c>
      <c r="B173" s="8">
        <v>46282.623217592591</v>
      </c>
      <c r="C173" t="s">
        <v>2</v>
      </c>
      <c r="D173" t="s">
        <v>469</v>
      </c>
      <c r="E173" t="s">
        <v>606</v>
      </c>
      <c r="F173" t="s">
        <v>2853</v>
      </c>
      <c r="G173" t="s">
        <v>468</v>
      </c>
      <c r="H173" t="s">
        <v>537</v>
      </c>
      <c r="I173" t="s">
        <v>565</v>
      </c>
      <c r="J173" t="s">
        <v>615</v>
      </c>
      <c r="K173" t="s">
        <v>676</v>
      </c>
      <c r="L173">
        <v>0</v>
      </c>
      <c r="M173">
        <v>362</v>
      </c>
      <c r="N173">
        <v>89000</v>
      </c>
      <c r="O173">
        <v>31.906777999999999</v>
      </c>
      <c r="P173">
        <v>35.616750000000003</v>
      </c>
      <c r="Q173" t="s">
        <v>677</v>
      </c>
      <c r="S173" t="s">
        <v>2525</v>
      </c>
      <c r="T173" t="s">
        <v>2854</v>
      </c>
      <c r="U173" t="s">
        <v>2855</v>
      </c>
      <c r="W173" t="s">
        <v>678</v>
      </c>
      <c r="Y173" t="s">
        <v>30</v>
      </c>
      <c r="Z173" t="s">
        <v>30</v>
      </c>
      <c r="AA173" t="str">
        <f>IF(NOT("https://maps.app.goo.gl/RndMpfcw8dcJCyQn6" = ""), HYPERLINK("https://maps.app.goo.gl/RndMpfcw8dcJCyQn6", "موقع"), "")</f>
        <v>موقع</v>
      </c>
    </row>
    <row r="174" spans="1:27" x14ac:dyDescent="0.3">
      <c r="A174" t="s">
        <v>679</v>
      </c>
      <c r="B174" s="8">
        <v>46282.623217592591</v>
      </c>
      <c r="C174" t="s">
        <v>2</v>
      </c>
      <c r="D174" t="s">
        <v>469</v>
      </c>
      <c r="F174" t="s">
        <v>2856</v>
      </c>
      <c r="G174" t="s">
        <v>468</v>
      </c>
      <c r="H174" t="s">
        <v>537</v>
      </c>
      <c r="I174" t="s">
        <v>538</v>
      </c>
      <c r="J174" t="s">
        <v>680</v>
      </c>
      <c r="K174" t="s">
        <v>681</v>
      </c>
      <c r="L174">
        <v>0</v>
      </c>
      <c r="M174">
        <v>21</v>
      </c>
      <c r="Q174" t="s">
        <v>682</v>
      </c>
      <c r="S174" t="s">
        <v>2525</v>
      </c>
      <c r="Y174" t="s">
        <v>30</v>
      </c>
      <c r="Z174" t="s">
        <v>30</v>
      </c>
      <c r="AA174" t="s">
        <v>30</v>
      </c>
    </row>
    <row r="175" spans="1:27" x14ac:dyDescent="0.3">
      <c r="A175" t="s">
        <v>683</v>
      </c>
      <c r="B175" s="8">
        <v>46282.623217592591</v>
      </c>
      <c r="C175" t="s">
        <v>2</v>
      </c>
      <c r="D175" t="s">
        <v>469</v>
      </c>
      <c r="F175" t="s">
        <v>2857</v>
      </c>
      <c r="G175" t="s">
        <v>468</v>
      </c>
      <c r="H175" t="s">
        <v>537</v>
      </c>
      <c r="I175" t="s">
        <v>538</v>
      </c>
      <c r="J175" t="s">
        <v>680</v>
      </c>
      <c r="K175" t="s">
        <v>681</v>
      </c>
      <c r="L175">
        <v>0</v>
      </c>
      <c r="M175">
        <v>22</v>
      </c>
      <c r="Q175" t="s">
        <v>684</v>
      </c>
      <c r="S175" t="s">
        <v>2525</v>
      </c>
      <c r="Y175" t="s">
        <v>30</v>
      </c>
      <c r="Z175" t="s">
        <v>30</v>
      </c>
      <c r="AA175" t="s">
        <v>30</v>
      </c>
    </row>
    <row r="176" spans="1:27" x14ac:dyDescent="0.3">
      <c r="A176" t="s">
        <v>685</v>
      </c>
      <c r="B176" s="8">
        <v>46282.623217592591</v>
      </c>
      <c r="C176" t="s">
        <v>2</v>
      </c>
      <c r="D176" t="s">
        <v>469</v>
      </c>
      <c r="F176" t="s">
        <v>2858</v>
      </c>
      <c r="G176" t="s">
        <v>468</v>
      </c>
      <c r="H176" t="s">
        <v>537</v>
      </c>
      <c r="I176" t="s">
        <v>538</v>
      </c>
      <c r="J176" t="s">
        <v>680</v>
      </c>
      <c r="K176" t="s">
        <v>681</v>
      </c>
      <c r="L176">
        <v>0</v>
      </c>
      <c r="M176">
        <v>138</v>
      </c>
      <c r="Q176" t="s">
        <v>686</v>
      </c>
      <c r="S176" t="s">
        <v>2525</v>
      </c>
      <c r="Y176" t="s">
        <v>30</v>
      </c>
      <c r="Z176" t="s">
        <v>30</v>
      </c>
      <c r="AA176" t="s">
        <v>30</v>
      </c>
    </row>
    <row r="177" spans="1:27" x14ac:dyDescent="0.3">
      <c r="A177" t="s">
        <v>687</v>
      </c>
      <c r="B177" s="8">
        <v>46282.623217592591</v>
      </c>
      <c r="C177" t="s">
        <v>2</v>
      </c>
      <c r="D177" t="s">
        <v>469</v>
      </c>
      <c r="F177" t="s">
        <v>2859</v>
      </c>
      <c r="G177" t="s">
        <v>468</v>
      </c>
      <c r="H177" t="s">
        <v>537</v>
      </c>
      <c r="I177" t="s">
        <v>538</v>
      </c>
      <c r="J177" t="s">
        <v>680</v>
      </c>
      <c r="K177" t="s">
        <v>681</v>
      </c>
      <c r="L177">
        <v>0</v>
      </c>
      <c r="M177">
        <v>17</v>
      </c>
      <c r="Q177" t="s">
        <v>688</v>
      </c>
      <c r="S177" t="s">
        <v>2525</v>
      </c>
      <c r="T177" t="s">
        <v>2860</v>
      </c>
      <c r="Y177" t="s">
        <v>30</v>
      </c>
      <c r="Z177" t="s">
        <v>30</v>
      </c>
      <c r="AA177" t="s">
        <v>30</v>
      </c>
    </row>
    <row r="178" spans="1:27" x14ac:dyDescent="0.3">
      <c r="A178" t="s">
        <v>689</v>
      </c>
      <c r="B178" s="8">
        <v>46282.623217592591</v>
      </c>
      <c r="C178" t="s">
        <v>2</v>
      </c>
      <c r="D178" t="s">
        <v>469</v>
      </c>
      <c r="F178" t="s">
        <v>2861</v>
      </c>
      <c r="G178" t="s">
        <v>468</v>
      </c>
      <c r="H178" t="s">
        <v>537</v>
      </c>
      <c r="I178" t="s">
        <v>538</v>
      </c>
      <c r="J178" t="s">
        <v>680</v>
      </c>
      <c r="K178" t="s">
        <v>681</v>
      </c>
      <c r="L178">
        <v>0</v>
      </c>
      <c r="M178">
        <v>16</v>
      </c>
      <c r="Q178" t="s">
        <v>690</v>
      </c>
      <c r="S178" t="s">
        <v>2525</v>
      </c>
      <c r="T178" t="s">
        <v>2860</v>
      </c>
      <c r="Y178" t="s">
        <v>30</v>
      </c>
      <c r="Z178" t="s">
        <v>30</v>
      </c>
      <c r="AA178" t="s">
        <v>30</v>
      </c>
    </row>
    <row r="179" spans="1:27" x14ac:dyDescent="0.3">
      <c r="A179" t="s">
        <v>691</v>
      </c>
      <c r="B179" s="8">
        <v>46282.623217592591</v>
      </c>
      <c r="C179" t="s">
        <v>2</v>
      </c>
      <c r="D179" t="s">
        <v>469</v>
      </c>
      <c r="F179" t="s">
        <v>2862</v>
      </c>
      <c r="G179" t="s">
        <v>468</v>
      </c>
      <c r="H179" t="s">
        <v>537</v>
      </c>
      <c r="I179" t="s">
        <v>538</v>
      </c>
      <c r="J179" t="s">
        <v>680</v>
      </c>
      <c r="K179" t="s">
        <v>692</v>
      </c>
      <c r="L179">
        <v>0</v>
      </c>
      <c r="M179">
        <v>81</v>
      </c>
      <c r="Q179" t="s">
        <v>693</v>
      </c>
      <c r="S179" t="s">
        <v>2525</v>
      </c>
      <c r="Y179" t="s">
        <v>30</v>
      </c>
      <c r="Z179" t="s">
        <v>30</v>
      </c>
      <c r="AA179" t="s">
        <v>30</v>
      </c>
    </row>
    <row r="180" spans="1:27" x14ac:dyDescent="0.3">
      <c r="A180" t="s">
        <v>694</v>
      </c>
      <c r="B180" s="8">
        <v>46282.623217592591</v>
      </c>
      <c r="C180" t="s">
        <v>2</v>
      </c>
      <c r="D180" t="s">
        <v>469</v>
      </c>
      <c r="F180" t="s">
        <v>2863</v>
      </c>
      <c r="G180" t="s">
        <v>468</v>
      </c>
      <c r="H180" t="s">
        <v>537</v>
      </c>
      <c r="I180" t="s">
        <v>538</v>
      </c>
      <c r="J180" t="s">
        <v>680</v>
      </c>
      <c r="K180" t="s">
        <v>692</v>
      </c>
      <c r="L180">
        <v>0</v>
      </c>
      <c r="M180">
        <v>11</v>
      </c>
      <c r="Q180" t="s">
        <v>695</v>
      </c>
      <c r="S180" t="s">
        <v>2525</v>
      </c>
      <c r="T180" t="s">
        <v>2864</v>
      </c>
      <c r="Y180" t="s">
        <v>30</v>
      </c>
      <c r="Z180" t="s">
        <v>30</v>
      </c>
      <c r="AA180" t="s">
        <v>30</v>
      </c>
    </row>
    <row r="181" spans="1:27" x14ac:dyDescent="0.3">
      <c r="A181" t="s">
        <v>696</v>
      </c>
      <c r="B181" s="8">
        <v>46282.623217592591</v>
      </c>
      <c r="C181" t="s">
        <v>2</v>
      </c>
      <c r="D181" t="s">
        <v>469</v>
      </c>
      <c r="F181" t="s">
        <v>2865</v>
      </c>
      <c r="G181" t="s">
        <v>468</v>
      </c>
      <c r="H181" t="s">
        <v>537</v>
      </c>
      <c r="I181" t="s">
        <v>538</v>
      </c>
      <c r="J181" t="s">
        <v>680</v>
      </c>
      <c r="K181" t="s">
        <v>681</v>
      </c>
      <c r="L181">
        <v>0</v>
      </c>
      <c r="M181">
        <v>24</v>
      </c>
      <c r="Q181" t="s">
        <v>697</v>
      </c>
      <c r="S181" t="s">
        <v>2525</v>
      </c>
      <c r="Y181" t="s">
        <v>30</v>
      </c>
      <c r="Z181" t="s">
        <v>30</v>
      </c>
      <c r="AA181" t="s">
        <v>30</v>
      </c>
    </row>
    <row r="182" spans="1:27" x14ac:dyDescent="0.3">
      <c r="A182" t="s">
        <v>698</v>
      </c>
      <c r="B182" s="8">
        <v>46282.623217592591</v>
      </c>
      <c r="C182" t="s">
        <v>2</v>
      </c>
      <c r="D182" t="s">
        <v>469</v>
      </c>
      <c r="F182" t="s">
        <v>2866</v>
      </c>
      <c r="G182" t="s">
        <v>468</v>
      </c>
      <c r="H182" t="s">
        <v>537</v>
      </c>
      <c r="I182" t="s">
        <v>538</v>
      </c>
      <c r="J182" t="s">
        <v>680</v>
      </c>
      <c r="K182" t="s">
        <v>692</v>
      </c>
      <c r="L182">
        <v>0</v>
      </c>
      <c r="M182">
        <v>7</v>
      </c>
      <c r="Q182" t="s">
        <v>699</v>
      </c>
      <c r="S182" t="s">
        <v>2525</v>
      </c>
      <c r="T182" t="s">
        <v>2864</v>
      </c>
      <c r="Y182" t="s">
        <v>30</v>
      </c>
      <c r="Z182" t="s">
        <v>30</v>
      </c>
      <c r="AA182" t="s">
        <v>30</v>
      </c>
    </row>
    <row r="183" spans="1:27" x14ac:dyDescent="0.3">
      <c r="A183" t="s">
        <v>700</v>
      </c>
      <c r="B183" s="8">
        <v>46282.623217592591</v>
      </c>
      <c r="C183" t="s">
        <v>2</v>
      </c>
      <c r="D183" t="s">
        <v>469</v>
      </c>
      <c r="E183" t="s">
        <v>547</v>
      </c>
      <c r="F183" t="s">
        <v>2867</v>
      </c>
      <c r="G183" t="s">
        <v>468</v>
      </c>
      <c r="H183" t="s">
        <v>537</v>
      </c>
      <c r="I183" t="s">
        <v>538</v>
      </c>
      <c r="J183" t="s">
        <v>680</v>
      </c>
      <c r="K183" t="s">
        <v>681</v>
      </c>
      <c r="L183">
        <v>0</v>
      </c>
      <c r="M183">
        <v>26</v>
      </c>
      <c r="Q183" t="s">
        <v>701</v>
      </c>
      <c r="S183" t="s">
        <v>2525</v>
      </c>
      <c r="Y183" t="s">
        <v>30</v>
      </c>
      <c r="Z183" t="s">
        <v>30</v>
      </c>
      <c r="AA183" t="s">
        <v>30</v>
      </c>
    </row>
    <row r="184" spans="1:27" x14ac:dyDescent="0.3">
      <c r="A184" t="s">
        <v>702</v>
      </c>
      <c r="B184" s="8">
        <v>46282.623217592591</v>
      </c>
      <c r="C184" t="s">
        <v>2</v>
      </c>
      <c r="D184" t="s">
        <v>469</v>
      </c>
      <c r="F184" t="s">
        <v>2868</v>
      </c>
      <c r="G184" t="s">
        <v>468</v>
      </c>
      <c r="H184" t="s">
        <v>537</v>
      </c>
      <c r="I184" t="s">
        <v>538</v>
      </c>
      <c r="J184" t="s">
        <v>680</v>
      </c>
      <c r="K184" t="s">
        <v>681</v>
      </c>
      <c r="L184">
        <v>0</v>
      </c>
      <c r="M184">
        <v>136</v>
      </c>
      <c r="Q184" t="s">
        <v>703</v>
      </c>
      <c r="S184" t="s">
        <v>2525</v>
      </c>
      <c r="Y184" t="s">
        <v>30</v>
      </c>
      <c r="Z184" t="s">
        <v>30</v>
      </c>
      <c r="AA184" t="s">
        <v>30</v>
      </c>
    </row>
    <row r="185" spans="1:27" x14ac:dyDescent="0.3">
      <c r="A185" t="s">
        <v>704</v>
      </c>
      <c r="B185" s="8">
        <v>46282.623217592591</v>
      </c>
      <c r="C185" t="s">
        <v>2</v>
      </c>
      <c r="D185" t="s">
        <v>469</v>
      </c>
      <c r="F185" t="s">
        <v>2869</v>
      </c>
      <c r="G185" t="s">
        <v>468</v>
      </c>
      <c r="H185" t="s">
        <v>537</v>
      </c>
      <c r="I185" t="s">
        <v>538</v>
      </c>
      <c r="J185" t="s">
        <v>680</v>
      </c>
      <c r="K185" t="s">
        <v>692</v>
      </c>
      <c r="L185">
        <v>0</v>
      </c>
      <c r="M185">
        <v>8</v>
      </c>
      <c r="Q185" t="s">
        <v>705</v>
      </c>
      <c r="S185" t="s">
        <v>2525</v>
      </c>
      <c r="T185" t="s">
        <v>2864</v>
      </c>
      <c r="Y185" t="s">
        <v>30</v>
      </c>
      <c r="Z185" t="s">
        <v>30</v>
      </c>
      <c r="AA185" t="s">
        <v>30</v>
      </c>
    </row>
    <row r="186" spans="1:27" x14ac:dyDescent="0.3">
      <c r="A186" t="s">
        <v>706</v>
      </c>
      <c r="B186" s="8">
        <v>46282.623217592591</v>
      </c>
      <c r="C186" t="s">
        <v>2</v>
      </c>
      <c r="D186" t="s">
        <v>469</v>
      </c>
      <c r="F186" t="s">
        <v>2870</v>
      </c>
      <c r="G186" t="s">
        <v>468</v>
      </c>
      <c r="H186" t="s">
        <v>537</v>
      </c>
      <c r="I186" t="s">
        <v>538</v>
      </c>
      <c r="J186" t="s">
        <v>680</v>
      </c>
      <c r="K186" t="s">
        <v>681</v>
      </c>
      <c r="L186">
        <v>0</v>
      </c>
      <c r="M186">
        <v>27</v>
      </c>
      <c r="Q186" t="s">
        <v>707</v>
      </c>
      <c r="S186" t="s">
        <v>2525</v>
      </c>
      <c r="Y186" t="s">
        <v>30</v>
      </c>
      <c r="Z186" t="s">
        <v>30</v>
      </c>
      <c r="AA186" t="s">
        <v>30</v>
      </c>
    </row>
    <row r="187" spans="1:27" x14ac:dyDescent="0.3">
      <c r="A187" t="s">
        <v>708</v>
      </c>
      <c r="B187" s="8">
        <v>46282.623217592591</v>
      </c>
      <c r="C187" t="s">
        <v>2</v>
      </c>
      <c r="D187" t="s">
        <v>469</v>
      </c>
      <c r="F187" t="s">
        <v>2871</v>
      </c>
      <c r="G187" t="s">
        <v>468</v>
      </c>
      <c r="H187" t="s">
        <v>537</v>
      </c>
      <c r="I187" t="s">
        <v>538</v>
      </c>
      <c r="J187" t="s">
        <v>680</v>
      </c>
      <c r="K187" t="s">
        <v>681</v>
      </c>
      <c r="L187">
        <v>0</v>
      </c>
      <c r="M187">
        <v>15</v>
      </c>
      <c r="Q187" t="s">
        <v>709</v>
      </c>
      <c r="S187" t="s">
        <v>2525</v>
      </c>
      <c r="T187" t="s">
        <v>2860</v>
      </c>
      <c r="Y187" t="s">
        <v>30</v>
      </c>
      <c r="Z187" t="s">
        <v>30</v>
      </c>
      <c r="AA187" t="s">
        <v>30</v>
      </c>
    </row>
    <row r="188" spans="1:27" x14ac:dyDescent="0.3">
      <c r="A188" t="s">
        <v>710</v>
      </c>
      <c r="B188" s="8">
        <v>46282.623217592591</v>
      </c>
      <c r="C188" t="s">
        <v>2</v>
      </c>
      <c r="D188" t="s">
        <v>469</v>
      </c>
      <c r="F188" t="s">
        <v>2872</v>
      </c>
      <c r="G188" t="s">
        <v>468</v>
      </c>
      <c r="H188" t="s">
        <v>537</v>
      </c>
      <c r="I188" t="s">
        <v>538</v>
      </c>
      <c r="J188" t="s">
        <v>680</v>
      </c>
      <c r="K188" t="s">
        <v>681</v>
      </c>
      <c r="L188">
        <v>0</v>
      </c>
      <c r="M188">
        <v>19</v>
      </c>
      <c r="Q188" t="s">
        <v>711</v>
      </c>
      <c r="S188" t="s">
        <v>2525</v>
      </c>
      <c r="T188" t="s">
        <v>2860</v>
      </c>
      <c r="Y188" t="s">
        <v>30</v>
      </c>
      <c r="Z188" t="s">
        <v>30</v>
      </c>
      <c r="AA188" t="s">
        <v>30</v>
      </c>
    </row>
    <row r="189" spans="1:27" x14ac:dyDescent="0.3">
      <c r="A189" t="s">
        <v>712</v>
      </c>
      <c r="B189" s="8">
        <v>46282.623217592591</v>
      </c>
      <c r="C189" t="s">
        <v>2</v>
      </c>
      <c r="D189" t="s">
        <v>469</v>
      </c>
      <c r="F189" t="s">
        <v>2873</v>
      </c>
      <c r="G189" t="s">
        <v>468</v>
      </c>
      <c r="H189" t="s">
        <v>537</v>
      </c>
      <c r="I189" t="s">
        <v>538</v>
      </c>
      <c r="J189" t="s">
        <v>680</v>
      </c>
      <c r="K189" t="s">
        <v>681</v>
      </c>
      <c r="L189">
        <v>0</v>
      </c>
      <c r="M189">
        <v>11</v>
      </c>
      <c r="Q189" t="s">
        <v>713</v>
      </c>
      <c r="S189" t="s">
        <v>2525</v>
      </c>
      <c r="T189" t="s">
        <v>2860</v>
      </c>
      <c r="Y189" t="s">
        <v>30</v>
      </c>
      <c r="Z189" t="s">
        <v>30</v>
      </c>
      <c r="AA189" t="s">
        <v>30</v>
      </c>
    </row>
    <row r="190" spans="1:27" x14ac:dyDescent="0.3">
      <c r="A190" t="s">
        <v>714</v>
      </c>
      <c r="B190" s="8">
        <v>46282.623217592591</v>
      </c>
      <c r="C190" t="s">
        <v>2</v>
      </c>
      <c r="D190" t="s">
        <v>469</v>
      </c>
      <c r="F190" t="s">
        <v>2874</v>
      </c>
      <c r="G190" t="s">
        <v>468</v>
      </c>
      <c r="H190" t="s">
        <v>537</v>
      </c>
      <c r="I190" t="s">
        <v>538</v>
      </c>
      <c r="J190" t="s">
        <v>680</v>
      </c>
      <c r="K190" t="s">
        <v>681</v>
      </c>
      <c r="L190">
        <v>0</v>
      </c>
      <c r="M190">
        <v>14</v>
      </c>
      <c r="Q190" t="s">
        <v>715</v>
      </c>
      <c r="S190" t="s">
        <v>2525</v>
      </c>
      <c r="T190" t="s">
        <v>2860</v>
      </c>
      <c r="Y190" t="s">
        <v>30</v>
      </c>
      <c r="Z190" t="s">
        <v>30</v>
      </c>
      <c r="AA190" t="s">
        <v>30</v>
      </c>
    </row>
    <row r="191" spans="1:27" x14ac:dyDescent="0.3">
      <c r="A191" t="s">
        <v>716</v>
      </c>
      <c r="B191" s="8">
        <v>46282.623217592591</v>
      </c>
      <c r="C191" t="s">
        <v>2</v>
      </c>
      <c r="D191" t="s">
        <v>469</v>
      </c>
      <c r="F191" t="s">
        <v>2875</v>
      </c>
      <c r="G191" t="s">
        <v>468</v>
      </c>
      <c r="H191" t="s">
        <v>537</v>
      </c>
      <c r="I191" t="s">
        <v>538</v>
      </c>
      <c r="J191" t="s">
        <v>680</v>
      </c>
      <c r="K191" t="s">
        <v>681</v>
      </c>
      <c r="L191">
        <v>0</v>
      </c>
      <c r="M191">
        <v>23</v>
      </c>
      <c r="Q191" t="s">
        <v>717</v>
      </c>
      <c r="S191" t="s">
        <v>2525</v>
      </c>
      <c r="Y191" t="s">
        <v>30</v>
      </c>
      <c r="Z191" t="s">
        <v>30</v>
      </c>
      <c r="AA191" t="s">
        <v>30</v>
      </c>
    </row>
    <row r="192" spans="1:27" x14ac:dyDescent="0.3">
      <c r="A192" t="s">
        <v>718</v>
      </c>
      <c r="B192" s="8">
        <v>46282.623217592591</v>
      </c>
      <c r="C192" t="s">
        <v>2</v>
      </c>
      <c r="D192" t="s">
        <v>469</v>
      </c>
      <c r="F192" t="s">
        <v>2876</v>
      </c>
      <c r="G192" t="s">
        <v>468</v>
      </c>
      <c r="H192" t="s">
        <v>537</v>
      </c>
      <c r="I192" t="s">
        <v>538</v>
      </c>
      <c r="J192" t="s">
        <v>680</v>
      </c>
      <c r="K192" t="s">
        <v>692</v>
      </c>
      <c r="L192">
        <v>0</v>
      </c>
      <c r="M192">
        <v>20</v>
      </c>
      <c r="Q192" t="s">
        <v>719</v>
      </c>
      <c r="S192" t="s">
        <v>2525</v>
      </c>
      <c r="T192" t="s">
        <v>2877</v>
      </c>
      <c r="Y192" t="s">
        <v>30</v>
      </c>
      <c r="Z192" t="s">
        <v>30</v>
      </c>
      <c r="AA192" t="s">
        <v>30</v>
      </c>
    </row>
    <row r="193" spans="1:27" x14ac:dyDescent="0.3">
      <c r="A193" t="s">
        <v>720</v>
      </c>
      <c r="B193" s="8">
        <v>46282.623217592591</v>
      </c>
      <c r="C193" t="s">
        <v>2</v>
      </c>
      <c r="D193" t="s">
        <v>469</v>
      </c>
      <c r="F193" t="s">
        <v>2878</v>
      </c>
      <c r="G193" t="s">
        <v>468</v>
      </c>
      <c r="H193" t="s">
        <v>537</v>
      </c>
      <c r="I193" t="s">
        <v>538</v>
      </c>
      <c r="J193" t="s">
        <v>680</v>
      </c>
      <c r="K193" t="s">
        <v>692</v>
      </c>
      <c r="L193">
        <v>0</v>
      </c>
      <c r="M193">
        <v>9</v>
      </c>
      <c r="Q193" t="s">
        <v>721</v>
      </c>
      <c r="S193" t="s">
        <v>2525</v>
      </c>
      <c r="T193" t="s">
        <v>2864</v>
      </c>
      <c r="Y193" t="s">
        <v>30</v>
      </c>
      <c r="Z193" t="s">
        <v>30</v>
      </c>
      <c r="AA193" t="s">
        <v>30</v>
      </c>
    </row>
    <row r="194" spans="1:27" x14ac:dyDescent="0.3">
      <c r="A194" t="s">
        <v>722</v>
      </c>
      <c r="B194" s="8">
        <v>46282.623217592591</v>
      </c>
      <c r="C194" t="s">
        <v>2</v>
      </c>
      <c r="D194" t="s">
        <v>469</v>
      </c>
      <c r="F194" t="s">
        <v>2879</v>
      </c>
      <c r="G194" t="s">
        <v>468</v>
      </c>
      <c r="H194" t="s">
        <v>537</v>
      </c>
      <c r="I194" t="s">
        <v>538</v>
      </c>
      <c r="J194" t="s">
        <v>680</v>
      </c>
      <c r="K194" t="s">
        <v>692</v>
      </c>
      <c r="L194">
        <v>0</v>
      </c>
      <c r="M194">
        <v>21</v>
      </c>
      <c r="Q194" t="s">
        <v>723</v>
      </c>
      <c r="S194" t="s">
        <v>2525</v>
      </c>
      <c r="Y194" t="s">
        <v>30</v>
      </c>
      <c r="Z194" t="s">
        <v>30</v>
      </c>
      <c r="AA194" t="s">
        <v>30</v>
      </c>
    </row>
    <row r="195" spans="1:27" x14ac:dyDescent="0.3">
      <c r="A195" t="s">
        <v>724</v>
      </c>
      <c r="B195" s="8">
        <v>46282.623217592591</v>
      </c>
      <c r="C195" t="s">
        <v>2</v>
      </c>
      <c r="D195" t="s">
        <v>469</v>
      </c>
      <c r="F195" t="s">
        <v>2880</v>
      </c>
      <c r="G195" t="s">
        <v>468</v>
      </c>
      <c r="H195" t="s">
        <v>537</v>
      </c>
      <c r="I195" t="s">
        <v>538</v>
      </c>
      <c r="J195" t="s">
        <v>680</v>
      </c>
      <c r="K195" t="s">
        <v>681</v>
      </c>
      <c r="L195">
        <v>0</v>
      </c>
      <c r="M195">
        <v>41</v>
      </c>
      <c r="Q195" t="s">
        <v>725</v>
      </c>
      <c r="S195" t="s">
        <v>2525</v>
      </c>
      <c r="Y195" t="s">
        <v>30</v>
      </c>
      <c r="Z195" t="s">
        <v>30</v>
      </c>
      <c r="AA195" t="s">
        <v>30</v>
      </c>
    </row>
    <row r="196" spans="1:27" x14ac:dyDescent="0.3">
      <c r="A196" t="s">
        <v>726</v>
      </c>
      <c r="B196" s="8">
        <v>46282.623217592591</v>
      </c>
      <c r="C196" t="s">
        <v>2</v>
      </c>
      <c r="D196" t="s">
        <v>469</v>
      </c>
      <c r="F196" t="s">
        <v>2881</v>
      </c>
      <c r="G196" t="s">
        <v>468</v>
      </c>
      <c r="H196" t="s">
        <v>537</v>
      </c>
      <c r="I196" t="s">
        <v>538</v>
      </c>
      <c r="J196" t="s">
        <v>680</v>
      </c>
      <c r="K196" t="s">
        <v>692</v>
      </c>
      <c r="L196">
        <v>0</v>
      </c>
      <c r="M196">
        <v>19</v>
      </c>
      <c r="Q196" t="s">
        <v>727</v>
      </c>
      <c r="S196" t="s">
        <v>2525</v>
      </c>
      <c r="Y196" t="s">
        <v>30</v>
      </c>
      <c r="Z196" t="s">
        <v>30</v>
      </c>
      <c r="AA196" t="s">
        <v>30</v>
      </c>
    </row>
    <row r="197" spans="1:27" x14ac:dyDescent="0.3">
      <c r="A197" t="s">
        <v>728</v>
      </c>
      <c r="B197" s="8">
        <v>46282.623217592591</v>
      </c>
      <c r="C197" t="s">
        <v>2</v>
      </c>
      <c r="D197" t="s">
        <v>469</v>
      </c>
      <c r="F197" t="s">
        <v>2882</v>
      </c>
      <c r="G197" t="s">
        <v>468</v>
      </c>
      <c r="H197" t="s">
        <v>537</v>
      </c>
      <c r="I197" t="s">
        <v>538</v>
      </c>
      <c r="J197" t="s">
        <v>680</v>
      </c>
      <c r="K197" t="s">
        <v>692</v>
      </c>
      <c r="L197">
        <v>0</v>
      </c>
      <c r="M197">
        <v>18</v>
      </c>
      <c r="Q197" t="s">
        <v>729</v>
      </c>
      <c r="S197" t="s">
        <v>2525</v>
      </c>
      <c r="Y197" t="s">
        <v>30</v>
      </c>
      <c r="Z197" t="s">
        <v>30</v>
      </c>
      <c r="AA197" t="s">
        <v>30</v>
      </c>
    </row>
    <row r="198" spans="1:27" x14ac:dyDescent="0.3">
      <c r="A198" t="s">
        <v>730</v>
      </c>
      <c r="B198" s="8">
        <v>46282.623217592591</v>
      </c>
      <c r="C198" t="s">
        <v>2</v>
      </c>
      <c r="D198" t="s">
        <v>469</v>
      </c>
      <c r="F198" t="s">
        <v>2883</v>
      </c>
      <c r="G198" t="s">
        <v>468</v>
      </c>
      <c r="H198" t="s">
        <v>537</v>
      </c>
      <c r="I198" t="s">
        <v>538</v>
      </c>
      <c r="J198" t="s">
        <v>680</v>
      </c>
      <c r="K198" t="s">
        <v>681</v>
      </c>
      <c r="L198">
        <v>0</v>
      </c>
      <c r="M198">
        <v>134</v>
      </c>
      <c r="Q198" t="s">
        <v>731</v>
      </c>
      <c r="S198" t="s">
        <v>2525</v>
      </c>
      <c r="Y198" t="s">
        <v>30</v>
      </c>
      <c r="Z198" t="s">
        <v>30</v>
      </c>
      <c r="AA198" t="s">
        <v>30</v>
      </c>
    </row>
    <row r="199" spans="1:27" x14ac:dyDescent="0.3">
      <c r="A199" t="s">
        <v>732</v>
      </c>
      <c r="B199" s="8">
        <v>46282.623217592591</v>
      </c>
      <c r="C199" t="s">
        <v>2</v>
      </c>
      <c r="D199" t="s">
        <v>469</v>
      </c>
      <c r="F199" t="s">
        <v>2884</v>
      </c>
      <c r="G199" t="s">
        <v>468</v>
      </c>
      <c r="H199" t="s">
        <v>537</v>
      </c>
      <c r="I199" t="s">
        <v>538</v>
      </c>
      <c r="J199" t="s">
        <v>680</v>
      </c>
      <c r="K199" t="s">
        <v>692</v>
      </c>
      <c r="L199">
        <v>0</v>
      </c>
      <c r="M199">
        <v>3</v>
      </c>
      <c r="O199">
        <v>31.995277999999999</v>
      </c>
      <c r="P199">
        <v>35.788139000000001</v>
      </c>
      <c r="Q199" t="s">
        <v>733</v>
      </c>
      <c r="S199" t="s">
        <v>2525</v>
      </c>
      <c r="T199" t="s">
        <v>2885</v>
      </c>
      <c r="U199" t="s">
        <v>2886</v>
      </c>
      <c r="Y199" t="s">
        <v>30</v>
      </c>
      <c r="Z199" t="s">
        <v>30</v>
      </c>
      <c r="AA199" t="str">
        <f>IF(NOT("https://maps.app.goo.gl/6Ex8gmUQJMvDk2tq8" = ""), HYPERLINK("https://maps.app.goo.gl/6Ex8gmUQJMvDk2tq8", "موقع"), "")</f>
        <v>موقع</v>
      </c>
    </row>
    <row r="200" spans="1:27" x14ac:dyDescent="0.3">
      <c r="A200" t="s">
        <v>734</v>
      </c>
      <c r="B200" s="8">
        <v>46282.623217592591</v>
      </c>
      <c r="C200" t="s">
        <v>2</v>
      </c>
      <c r="D200" t="s">
        <v>469</v>
      </c>
      <c r="F200" t="s">
        <v>2887</v>
      </c>
      <c r="G200" t="s">
        <v>468</v>
      </c>
      <c r="H200" t="s">
        <v>537</v>
      </c>
      <c r="I200" t="s">
        <v>538</v>
      </c>
      <c r="J200" t="s">
        <v>680</v>
      </c>
      <c r="K200" t="s">
        <v>681</v>
      </c>
      <c r="L200">
        <v>0</v>
      </c>
      <c r="M200">
        <v>42</v>
      </c>
      <c r="Q200" t="s">
        <v>735</v>
      </c>
      <c r="S200" t="s">
        <v>2525</v>
      </c>
      <c r="Y200" t="s">
        <v>30</v>
      </c>
      <c r="Z200" t="s">
        <v>30</v>
      </c>
      <c r="AA200" t="s">
        <v>30</v>
      </c>
    </row>
    <row r="201" spans="1:27" x14ac:dyDescent="0.3">
      <c r="A201" t="s">
        <v>736</v>
      </c>
      <c r="B201" s="8">
        <v>46282.623217592591</v>
      </c>
      <c r="C201" t="s">
        <v>2</v>
      </c>
      <c r="D201" t="s">
        <v>469</v>
      </c>
      <c r="F201" t="s">
        <v>2888</v>
      </c>
      <c r="G201" t="s">
        <v>468</v>
      </c>
      <c r="H201" t="s">
        <v>537</v>
      </c>
      <c r="I201" t="s">
        <v>538</v>
      </c>
      <c r="J201" t="s">
        <v>680</v>
      </c>
      <c r="K201" t="s">
        <v>692</v>
      </c>
      <c r="L201">
        <v>0</v>
      </c>
      <c r="M201">
        <v>17</v>
      </c>
      <c r="Q201" t="s">
        <v>737</v>
      </c>
      <c r="S201" t="s">
        <v>2525</v>
      </c>
      <c r="T201" t="s">
        <v>2864</v>
      </c>
      <c r="Y201" t="s">
        <v>30</v>
      </c>
      <c r="Z201" t="s">
        <v>30</v>
      </c>
      <c r="AA201" t="s">
        <v>30</v>
      </c>
    </row>
    <row r="202" spans="1:27" x14ac:dyDescent="0.3">
      <c r="A202" t="s">
        <v>738</v>
      </c>
      <c r="B202" s="8">
        <v>46282.623217592591</v>
      </c>
      <c r="C202" t="s">
        <v>2</v>
      </c>
      <c r="D202" t="s">
        <v>469</v>
      </c>
      <c r="F202" t="s">
        <v>2889</v>
      </c>
      <c r="G202" t="s">
        <v>468</v>
      </c>
      <c r="H202" t="s">
        <v>537</v>
      </c>
      <c r="I202" t="s">
        <v>538</v>
      </c>
      <c r="J202" t="s">
        <v>680</v>
      </c>
      <c r="K202" t="s">
        <v>692</v>
      </c>
      <c r="L202">
        <v>0</v>
      </c>
      <c r="M202">
        <v>16</v>
      </c>
      <c r="Q202" t="s">
        <v>739</v>
      </c>
      <c r="S202" t="s">
        <v>2525</v>
      </c>
      <c r="T202" t="s">
        <v>2864</v>
      </c>
      <c r="Y202" t="s">
        <v>30</v>
      </c>
      <c r="Z202" t="s">
        <v>30</v>
      </c>
      <c r="AA202" t="s">
        <v>30</v>
      </c>
    </row>
    <row r="203" spans="1:27" x14ac:dyDescent="0.3">
      <c r="A203" t="s">
        <v>740</v>
      </c>
      <c r="B203" s="8">
        <v>46282.623217592591</v>
      </c>
      <c r="C203" t="s">
        <v>2</v>
      </c>
      <c r="D203" t="s">
        <v>469</v>
      </c>
      <c r="F203" t="s">
        <v>2890</v>
      </c>
      <c r="G203" t="s">
        <v>468</v>
      </c>
      <c r="H203" t="s">
        <v>537</v>
      </c>
      <c r="I203" t="s">
        <v>538</v>
      </c>
      <c r="J203" t="s">
        <v>680</v>
      </c>
      <c r="K203" t="s">
        <v>681</v>
      </c>
      <c r="L203">
        <v>0</v>
      </c>
      <c r="M203">
        <v>25</v>
      </c>
      <c r="Q203" t="s">
        <v>741</v>
      </c>
      <c r="S203" t="s">
        <v>2525</v>
      </c>
      <c r="Y203" t="s">
        <v>30</v>
      </c>
      <c r="Z203" t="s">
        <v>30</v>
      </c>
      <c r="AA203" t="s">
        <v>30</v>
      </c>
    </row>
    <row r="204" spans="1:27" x14ac:dyDescent="0.3">
      <c r="A204" t="s">
        <v>742</v>
      </c>
      <c r="B204" s="8">
        <v>46282.623217592591</v>
      </c>
      <c r="C204" t="s">
        <v>2</v>
      </c>
      <c r="D204" t="s">
        <v>469</v>
      </c>
      <c r="F204" t="s">
        <v>2891</v>
      </c>
      <c r="G204" t="s">
        <v>468</v>
      </c>
      <c r="H204" t="s">
        <v>537</v>
      </c>
      <c r="I204" t="s">
        <v>538</v>
      </c>
      <c r="J204" t="s">
        <v>680</v>
      </c>
      <c r="K204" t="s">
        <v>681</v>
      </c>
      <c r="L204">
        <v>0</v>
      </c>
      <c r="M204">
        <v>18</v>
      </c>
      <c r="Q204" t="s">
        <v>743</v>
      </c>
      <c r="S204" t="s">
        <v>2525</v>
      </c>
      <c r="T204" t="s">
        <v>2860</v>
      </c>
      <c r="Y204" t="s">
        <v>30</v>
      </c>
      <c r="Z204" t="s">
        <v>30</v>
      </c>
      <c r="AA204" t="s">
        <v>30</v>
      </c>
    </row>
    <row r="205" spans="1:27" x14ac:dyDescent="0.3">
      <c r="A205" t="s">
        <v>744</v>
      </c>
      <c r="B205" s="8">
        <v>46282.623217592591</v>
      </c>
      <c r="C205" t="s">
        <v>2</v>
      </c>
      <c r="D205" t="s">
        <v>516</v>
      </c>
      <c r="E205" t="s">
        <v>547</v>
      </c>
      <c r="F205" t="s">
        <v>2892</v>
      </c>
      <c r="G205" t="s">
        <v>468</v>
      </c>
      <c r="H205" t="s">
        <v>537</v>
      </c>
      <c r="I205" t="s">
        <v>638</v>
      </c>
      <c r="J205" t="s">
        <v>639</v>
      </c>
      <c r="K205" t="s">
        <v>640</v>
      </c>
      <c r="L205">
        <v>0</v>
      </c>
      <c r="M205">
        <v>69</v>
      </c>
      <c r="O205">
        <v>32.173611000000001</v>
      </c>
      <c r="P205">
        <v>35.627667000000002</v>
      </c>
      <c r="Q205" t="s">
        <v>648</v>
      </c>
      <c r="R205" t="s">
        <v>2828</v>
      </c>
      <c r="S205" t="s">
        <v>2579</v>
      </c>
      <c r="T205" t="s">
        <v>2893</v>
      </c>
      <c r="U205" t="s">
        <v>2834</v>
      </c>
      <c r="Y205" t="s">
        <v>30</v>
      </c>
      <c r="Z205" t="str">
        <f>IF(NOT("https://truemarkets3d.net/3d-virtual-tour/housingbank-realestate/phase3/aq-lnd-100293/index.html" = ""), HYPERLINK("https://truemarkets3d.net/3d-virtual-tour/housingbank-realestate/phase3/aq-lnd-100293/index.html", "جولة"), "")</f>
        <v>جولة</v>
      </c>
      <c r="AA205" t="str">
        <f>IF(NOT("https://maps.app.goo.gl/s4P155pLxiymNv7CA" = ""), HYPERLINK("https://maps.app.goo.gl/s4P155pLxiymNv7CA", "موقع"), "")</f>
        <v>موقع</v>
      </c>
    </row>
    <row r="206" spans="1:27" x14ac:dyDescent="0.3">
      <c r="A206" t="s">
        <v>745</v>
      </c>
      <c r="B206" s="8">
        <v>46282.623217592591</v>
      </c>
      <c r="C206" t="s">
        <v>2</v>
      </c>
      <c r="D206" t="s">
        <v>516</v>
      </c>
      <c r="E206" t="s">
        <v>547</v>
      </c>
      <c r="F206" t="s">
        <v>2894</v>
      </c>
      <c r="G206" t="s">
        <v>468</v>
      </c>
      <c r="H206" t="s">
        <v>537</v>
      </c>
      <c r="I206" t="s">
        <v>638</v>
      </c>
      <c r="J206" t="s">
        <v>639</v>
      </c>
      <c r="K206" t="s">
        <v>640</v>
      </c>
      <c r="L206">
        <v>0</v>
      </c>
      <c r="M206">
        <v>70</v>
      </c>
      <c r="O206">
        <v>32.173389</v>
      </c>
      <c r="P206">
        <v>35.627833000000003</v>
      </c>
      <c r="Q206" t="s">
        <v>651</v>
      </c>
      <c r="R206" t="s">
        <v>2828</v>
      </c>
      <c r="S206" t="s">
        <v>2579</v>
      </c>
      <c r="T206" t="s">
        <v>2895</v>
      </c>
      <c r="U206" t="s">
        <v>2896</v>
      </c>
      <c r="Y206" t="s">
        <v>30</v>
      </c>
      <c r="Z206" t="str">
        <f>IF(NOT("https://truemarkets3d.net/3d-virtual-tour/housingbank-realestate/phase3/aq-lnd-100293/index.html" = ""), HYPERLINK("https://truemarkets3d.net/3d-virtual-tour/housingbank-realestate/phase3/aq-lnd-100293/index.html", "جولة"), "")</f>
        <v>جولة</v>
      </c>
      <c r="AA206" t="str">
        <f>IF(NOT("https://maps.app.goo.gl/GiY333LJhkiSAerD7" = ""), HYPERLINK("https://maps.app.goo.gl/GiY333LJhkiSAerD7", "موقع"), "")</f>
        <v>موقع</v>
      </c>
    </row>
    <row r="207" spans="1:27" x14ac:dyDescent="0.3">
      <c r="A207" t="s">
        <v>746</v>
      </c>
      <c r="B207" s="8">
        <v>46282.623217592591</v>
      </c>
      <c r="C207" t="s">
        <v>2</v>
      </c>
      <c r="D207" t="s">
        <v>59</v>
      </c>
      <c r="E207" t="s">
        <v>751</v>
      </c>
      <c r="F207" t="s">
        <v>2897</v>
      </c>
      <c r="G207" t="s">
        <v>21</v>
      </c>
      <c r="H207" t="s">
        <v>747</v>
      </c>
      <c r="I207" t="s">
        <v>748</v>
      </c>
      <c r="J207" t="s">
        <v>749</v>
      </c>
      <c r="K207" t="s">
        <v>750</v>
      </c>
      <c r="L207">
        <v>121</v>
      </c>
      <c r="M207">
        <v>139</v>
      </c>
      <c r="N207">
        <v>5000</v>
      </c>
      <c r="O207">
        <v>31.881806000000001</v>
      </c>
      <c r="P207">
        <v>36.827778000000002</v>
      </c>
      <c r="Q207" t="s">
        <v>103</v>
      </c>
      <c r="S207" t="s">
        <v>2525</v>
      </c>
      <c r="U207" t="s">
        <v>2898</v>
      </c>
      <c r="V207" t="s">
        <v>73</v>
      </c>
      <c r="W207" t="s">
        <v>752</v>
      </c>
      <c r="Y207" t="s">
        <v>30</v>
      </c>
      <c r="Z207" t="s">
        <v>30</v>
      </c>
      <c r="AA207" t="str">
        <f>IF(NOT("https://maps.app.goo.gl/Lr51HveMk3JcArJx8" = ""), HYPERLINK("https://maps.app.goo.gl/Lr51HveMk3JcArJx8", "موقع"), "")</f>
        <v>موقع</v>
      </c>
    </row>
    <row r="208" spans="1:27" x14ac:dyDescent="0.3">
      <c r="A208" t="s">
        <v>753</v>
      </c>
      <c r="B208" s="8">
        <v>46282.623217592591</v>
      </c>
      <c r="C208" t="s">
        <v>2</v>
      </c>
      <c r="D208" t="s">
        <v>59</v>
      </c>
      <c r="E208" t="s">
        <v>756</v>
      </c>
      <c r="F208" t="s">
        <v>2899</v>
      </c>
      <c r="G208" t="s">
        <v>21</v>
      </c>
      <c r="H208" t="s">
        <v>747</v>
      </c>
      <c r="I208" t="s">
        <v>748</v>
      </c>
      <c r="J208" t="s">
        <v>754</v>
      </c>
      <c r="K208" t="s">
        <v>755</v>
      </c>
      <c r="L208">
        <v>112</v>
      </c>
      <c r="M208">
        <v>482</v>
      </c>
      <c r="N208">
        <v>15000</v>
      </c>
      <c r="O208">
        <v>31.996638999999998</v>
      </c>
      <c r="P208">
        <v>36.022167000000003</v>
      </c>
      <c r="Q208" t="s">
        <v>757</v>
      </c>
      <c r="S208" t="s">
        <v>2525</v>
      </c>
      <c r="U208" t="s">
        <v>2900</v>
      </c>
      <c r="V208" t="s">
        <v>43</v>
      </c>
      <c r="W208" t="s">
        <v>758</v>
      </c>
      <c r="Y208" t="s">
        <v>30</v>
      </c>
      <c r="Z208" t="s">
        <v>30</v>
      </c>
      <c r="AA208" t="str">
        <f>IF(NOT("https://maps.app.goo.gl/Q4DrXSo4TcHdgM757" = ""), HYPERLINK("https://maps.app.goo.gl/Q4DrXSo4TcHdgM757", "موقع"), "")</f>
        <v>موقع</v>
      </c>
    </row>
    <row r="209" spans="1:27" x14ac:dyDescent="0.3">
      <c r="A209" t="s">
        <v>759</v>
      </c>
      <c r="B209" s="8">
        <v>46282.623217592591</v>
      </c>
      <c r="C209" t="s">
        <v>2</v>
      </c>
      <c r="D209" t="s">
        <v>59</v>
      </c>
      <c r="E209" t="s">
        <v>762</v>
      </c>
      <c r="F209" t="s">
        <v>2901</v>
      </c>
      <c r="G209" t="s">
        <v>21</v>
      </c>
      <c r="H209" t="s">
        <v>747</v>
      </c>
      <c r="I209" t="s">
        <v>748</v>
      </c>
      <c r="J209" t="s">
        <v>760</v>
      </c>
      <c r="K209" t="s">
        <v>761</v>
      </c>
      <c r="L209">
        <v>112</v>
      </c>
      <c r="M209">
        <v>786</v>
      </c>
      <c r="N209">
        <v>17000</v>
      </c>
      <c r="Q209" t="s">
        <v>282</v>
      </c>
      <c r="S209" t="s">
        <v>2525</v>
      </c>
      <c r="V209" t="s">
        <v>43</v>
      </c>
      <c r="W209" t="s">
        <v>763</v>
      </c>
      <c r="Y209" t="s">
        <v>30</v>
      </c>
      <c r="Z209" t="s">
        <v>30</v>
      </c>
      <c r="AA209" t="s">
        <v>30</v>
      </c>
    </row>
    <row r="210" spans="1:27" x14ac:dyDescent="0.3">
      <c r="A210" t="s">
        <v>764</v>
      </c>
      <c r="B210" s="8">
        <v>46282.623217592591</v>
      </c>
      <c r="C210" t="s">
        <v>2</v>
      </c>
      <c r="D210" t="s">
        <v>59</v>
      </c>
      <c r="E210" t="s">
        <v>762</v>
      </c>
      <c r="F210" t="s">
        <v>2902</v>
      </c>
      <c r="G210" t="s">
        <v>21</v>
      </c>
      <c r="H210" t="s">
        <v>747</v>
      </c>
      <c r="I210" t="s">
        <v>748</v>
      </c>
      <c r="J210" t="s">
        <v>760</v>
      </c>
      <c r="K210" t="s">
        <v>765</v>
      </c>
      <c r="L210">
        <v>121</v>
      </c>
      <c r="M210">
        <v>616</v>
      </c>
      <c r="N210">
        <v>17000</v>
      </c>
      <c r="O210">
        <v>32.130443999999997</v>
      </c>
      <c r="P210">
        <v>36.118082999999999</v>
      </c>
      <c r="Q210" t="s">
        <v>128</v>
      </c>
      <c r="S210" t="s">
        <v>2525</v>
      </c>
      <c r="U210" t="s">
        <v>2903</v>
      </c>
      <c r="V210" t="s">
        <v>73</v>
      </c>
      <c r="W210" t="s">
        <v>766</v>
      </c>
      <c r="Y210" t="s">
        <v>30</v>
      </c>
      <c r="Z210" t="s">
        <v>30</v>
      </c>
      <c r="AA210" t="str">
        <f>IF(NOT("https://maps.app.goo.gl/Vofq87D3rfv8wWtp8" = ""), HYPERLINK("https://maps.app.goo.gl/Vofq87D3rfv8wWtp8", "موقع"), "")</f>
        <v>موقع</v>
      </c>
    </row>
    <row r="211" spans="1:27" x14ac:dyDescent="0.3">
      <c r="A211" t="s">
        <v>767</v>
      </c>
      <c r="B211" s="8">
        <v>46282.623217592591</v>
      </c>
      <c r="C211" t="s">
        <v>2</v>
      </c>
      <c r="D211" t="s">
        <v>59</v>
      </c>
      <c r="E211" t="s">
        <v>770</v>
      </c>
      <c r="F211" t="s">
        <v>2904</v>
      </c>
      <c r="G211" t="s">
        <v>21</v>
      </c>
      <c r="H211" t="s">
        <v>747</v>
      </c>
      <c r="I211" t="s">
        <v>748</v>
      </c>
      <c r="J211" t="s">
        <v>768</v>
      </c>
      <c r="K211" t="s">
        <v>769</v>
      </c>
      <c r="L211">
        <v>113</v>
      </c>
      <c r="M211">
        <v>908</v>
      </c>
      <c r="N211">
        <v>19000</v>
      </c>
      <c r="O211">
        <v>32.060639000000002</v>
      </c>
      <c r="P211">
        <v>36.125416999999999</v>
      </c>
      <c r="Q211" t="s">
        <v>771</v>
      </c>
      <c r="S211" t="s">
        <v>2525</v>
      </c>
      <c r="U211" t="s">
        <v>2905</v>
      </c>
      <c r="V211" t="s">
        <v>43</v>
      </c>
      <c r="W211" t="s">
        <v>772</v>
      </c>
      <c r="Y211" t="s">
        <v>30</v>
      </c>
      <c r="Z211" t="s">
        <v>30</v>
      </c>
      <c r="AA211" t="str">
        <f>IF(NOT("https://maps.app.goo.gl/q8WZkNESRigaBnKe6" = ""), HYPERLINK("https://maps.app.goo.gl/q8WZkNESRigaBnKe6", "موقع"), "")</f>
        <v>موقع</v>
      </c>
    </row>
    <row r="212" spans="1:27" x14ac:dyDescent="0.3">
      <c r="A212" t="s">
        <v>773</v>
      </c>
      <c r="B212" s="8">
        <v>46282.623217592591</v>
      </c>
      <c r="C212" t="s">
        <v>2</v>
      </c>
      <c r="D212" t="s">
        <v>59</v>
      </c>
      <c r="E212" t="s">
        <v>776</v>
      </c>
      <c r="F212" t="s">
        <v>2906</v>
      </c>
      <c r="G212" t="s">
        <v>21</v>
      </c>
      <c r="H212" t="s">
        <v>747</v>
      </c>
      <c r="I212" t="s">
        <v>748</v>
      </c>
      <c r="J212" t="s">
        <v>774</v>
      </c>
      <c r="K212" t="s">
        <v>775</v>
      </c>
      <c r="L212">
        <v>111</v>
      </c>
      <c r="M212">
        <v>1932</v>
      </c>
      <c r="N212">
        <v>19000</v>
      </c>
      <c r="O212">
        <v>32.050417000000003</v>
      </c>
      <c r="P212">
        <v>36.061943999999997</v>
      </c>
      <c r="Q212" t="s">
        <v>777</v>
      </c>
      <c r="S212" t="s">
        <v>2525</v>
      </c>
      <c r="U212" t="s">
        <v>2907</v>
      </c>
      <c r="V212" t="s">
        <v>43</v>
      </c>
      <c r="W212" t="s">
        <v>778</v>
      </c>
      <c r="Y212" t="s">
        <v>30</v>
      </c>
      <c r="Z212" t="s">
        <v>30</v>
      </c>
      <c r="AA212" t="str">
        <f>IF(NOT("https://maps.app.goo.gl/h9vkGZTUK3shCgVa7" = ""), HYPERLINK("https://maps.app.goo.gl/h9vkGZTUK3shCgVa7", "موقع"), "")</f>
        <v>موقع</v>
      </c>
    </row>
    <row r="213" spans="1:27" x14ac:dyDescent="0.3">
      <c r="A213" t="s">
        <v>779</v>
      </c>
      <c r="B213" s="8">
        <v>46282.623217592591</v>
      </c>
      <c r="C213" t="s">
        <v>2</v>
      </c>
      <c r="D213" t="s">
        <v>59</v>
      </c>
      <c r="E213" t="s">
        <v>782</v>
      </c>
      <c r="F213" t="s">
        <v>2908</v>
      </c>
      <c r="G213" t="s">
        <v>21</v>
      </c>
      <c r="H213" t="s">
        <v>747</v>
      </c>
      <c r="I213" t="s">
        <v>748</v>
      </c>
      <c r="J213" t="s">
        <v>780</v>
      </c>
      <c r="K213" t="s">
        <v>781</v>
      </c>
      <c r="L213">
        <v>113</v>
      </c>
      <c r="M213">
        <v>701</v>
      </c>
      <c r="N213">
        <v>20000</v>
      </c>
      <c r="O213">
        <v>32.041694</v>
      </c>
      <c r="P213">
        <v>36.099972000000001</v>
      </c>
      <c r="Q213" t="s">
        <v>783</v>
      </c>
      <c r="S213" t="s">
        <v>2525</v>
      </c>
      <c r="U213" t="s">
        <v>2909</v>
      </c>
      <c r="V213" t="s">
        <v>43</v>
      </c>
      <c r="W213" t="s">
        <v>784</v>
      </c>
      <c r="Y213" t="s">
        <v>30</v>
      </c>
      <c r="Z213" t="s">
        <v>30</v>
      </c>
      <c r="AA213" t="str">
        <f>IF(NOT("https://maps.app.goo.gl/kSmHhrt5qJAVUmas7" = ""), HYPERLINK("https://maps.app.goo.gl/kSmHhrt5qJAVUmas7", "موقع"), "")</f>
        <v>موقع</v>
      </c>
    </row>
    <row r="214" spans="1:27" x14ac:dyDescent="0.3">
      <c r="A214" t="s">
        <v>785</v>
      </c>
      <c r="B214" s="8">
        <v>46282.623217592591</v>
      </c>
      <c r="C214" t="s">
        <v>2</v>
      </c>
      <c r="D214" t="s">
        <v>59</v>
      </c>
      <c r="E214" t="s">
        <v>756</v>
      </c>
      <c r="F214" t="s">
        <v>2910</v>
      </c>
      <c r="G214" t="s">
        <v>21</v>
      </c>
      <c r="H214" t="s">
        <v>747</v>
      </c>
      <c r="I214" t="s">
        <v>748</v>
      </c>
      <c r="J214" t="s">
        <v>754</v>
      </c>
      <c r="K214" t="s">
        <v>755</v>
      </c>
      <c r="L214">
        <v>113</v>
      </c>
      <c r="M214">
        <v>482</v>
      </c>
      <c r="N214">
        <v>20000</v>
      </c>
      <c r="O214">
        <v>31.996638999999998</v>
      </c>
      <c r="P214">
        <v>36.022167000000003</v>
      </c>
      <c r="Q214" t="s">
        <v>786</v>
      </c>
      <c r="S214" t="s">
        <v>2525</v>
      </c>
      <c r="U214" t="s">
        <v>2900</v>
      </c>
      <c r="V214" t="s">
        <v>43</v>
      </c>
      <c r="W214" t="s">
        <v>787</v>
      </c>
      <c r="Y214" t="s">
        <v>30</v>
      </c>
      <c r="Z214" t="s">
        <v>30</v>
      </c>
      <c r="AA214" t="str">
        <f>IF(NOT("https://maps.app.goo.gl/Q4DrXSo4TcHdgM757" = ""), HYPERLINK("https://maps.app.goo.gl/Q4DrXSo4TcHdgM757", "موقع"), "")</f>
        <v>موقع</v>
      </c>
    </row>
    <row r="215" spans="1:27" x14ac:dyDescent="0.3">
      <c r="A215" t="s">
        <v>788</v>
      </c>
      <c r="B215" s="8">
        <v>46282.623217592591</v>
      </c>
      <c r="C215" t="s">
        <v>2</v>
      </c>
      <c r="D215" t="s">
        <v>59</v>
      </c>
      <c r="E215" t="s">
        <v>789</v>
      </c>
      <c r="F215" t="s">
        <v>2911</v>
      </c>
      <c r="G215" t="s">
        <v>21</v>
      </c>
      <c r="H215" t="s">
        <v>747</v>
      </c>
      <c r="I215" t="s">
        <v>748</v>
      </c>
      <c r="J215" t="s">
        <v>754</v>
      </c>
      <c r="K215" t="s">
        <v>755</v>
      </c>
      <c r="L215">
        <v>112</v>
      </c>
      <c r="M215">
        <v>3308</v>
      </c>
      <c r="N215">
        <v>20000</v>
      </c>
      <c r="Q215" t="s">
        <v>115</v>
      </c>
      <c r="S215" t="s">
        <v>2525</v>
      </c>
      <c r="V215" t="s">
        <v>43</v>
      </c>
      <c r="W215" t="s">
        <v>790</v>
      </c>
      <c r="Y215" t="s">
        <v>30</v>
      </c>
      <c r="Z215" t="s">
        <v>30</v>
      </c>
      <c r="AA215" t="s">
        <v>30</v>
      </c>
    </row>
    <row r="216" spans="1:27" x14ac:dyDescent="0.3">
      <c r="A216" t="s">
        <v>791</v>
      </c>
      <c r="B216" s="8">
        <v>46282.623217592591</v>
      </c>
      <c r="C216" t="s">
        <v>2</v>
      </c>
      <c r="D216" t="s">
        <v>59</v>
      </c>
      <c r="E216" t="s">
        <v>762</v>
      </c>
      <c r="F216" t="s">
        <v>2912</v>
      </c>
      <c r="G216" t="s">
        <v>21</v>
      </c>
      <c r="H216" t="s">
        <v>747</v>
      </c>
      <c r="I216" t="s">
        <v>748</v>
      </c>
      <c r="J216" t="s">
        <v>760</v>
      </c>
      <c r="K216" t="s">
        <v>761</v>
      </c>
      <c r="L216">
        <v>101</v>
      </c>
      <c r="M216">
        <v>786</v>
      </c>
      <c r="N216">
        <v>21000</v>
      </c>
      <c r="Q216" t="s">
        <v>277</v>
      </c>
      <c r="S216" t="s">
        <v>2525</v>
      </c>
      <c r="V216" t="s">
        <v>28</v>
      </c>
      <c r="W216" t="s">
        <v>792</v>
      </c>
      <c r="Y216" t="s">
        <v>30</v>
      </c>
      <c r="Z216" t="s">
        <v>30</v>
      </c>
      <c r="AA216" t="s">
        <v>30</v>
      </c>
    </row>
    <row r="217" spans="1:27" x14ac:dyDescent="0.3">
      <c r="A217" t="s">
        <v>793</v>
      </c>
      <c r="B217" s="8">
        <v>46282.623217592591</v>
      </c>
      <c r="C217" t="s">
        <v>2</v>
      </c>
      <c r="D217" t="s">
        <v>59</v>
      </c>
      <c r="E217" t="s">
        <v>796</v>
      </c>
      <c r="F217" t="s">
        <v>2913</v>
      </c>
      <c r="G217" t="s">
        <v>21</v>
      </c>
      <c r="H217" t="s">
        <v>747</v>
      </c>
      <c r="I217" t="s">
        <v>748</v>
      </c>
      <c r="J217" t="s">
        <v>794</v>
      </c>
      <c r="K217" t="s">
        <v>795</v>
      </c>
      <c r="L217">
        <v>-102</v>
      </c>
      <c r="M217">
        <v>954</v>
      </c>
      <c r="N217">
        <v>21000</v>
      </c>
      <c r="Q217" t="s">
        <v>797</v>
      </c>
      <c r="S217" t="s">
        <v>2525</v>
      </c>
      <c r="V217" t="s">
        <v>33</v>
      </c>
      <c r="W217" t="s">
        <v>798</v>
      </c>
      <c r="Y217" t="s">
        <v>30</v>
      </c>
      <c r="Z217" t="s">
        <v>30</v>
      </c>
      <c r="AA217" t="s">
        <v>30</v>
      </c>
    </row>
    <row r="218" spans="1:27" x14ac:dyDescent="0.3">
      <c r="A218" t="s">
        <v>799</v>
      </c>
      <c r="B218" s="8">
        <v>46282.623217592591</v>
      </c>
      <c r="C218" t="s">
        <v>2</v>
      </c>
      <c r="D218" t="s">
        <v>59</v>
      </c>
      <c r="E218" t="s">
        <v>770</v>
      </c>
      <c r="F218" t="s">
        <v>2914</v>
      </c>
      <c r="G218" t="s">
        <v>21</v>
      </c>
      <c r="H218" t="s">
        <v>747</v>
      </c>
      <c r="I218" t="s">
        <v>748</v>
      </c>
      <c r="J218" t="s">
        <v>768</v>
      </c>
      <c r="K218" t="s">
        <v>769</v>
      </c>
      <c r="L218">
        <v>114</v>
      </c>
      <c r="M218">
        <v>880</v>
      </c>
      <c r="N218">
        <v>22000</v>
      </c>
      <c r="O218">
        <v>32.061360999999998</v>
      </c>
      <c r="P218">
        <v>36.126083000000001</v>
      </c>
      <c r="Q218" t="s">
        <v>786</v>
      </c>
      <c r="S218" t="s">
        <v>2525</v>
      </c>
      <c r="U218" t="s">
        <v>2915</v>
      </c>
      <c r="V218" t="s">
        <v>43</v>
      </c>
      <c r="W218" t="s">
        <v>800</v>
      </c>
      <c r="Y218" t="s">
        <v>30</v>
      </c>
      <c r="Z218" t="s">
        <v>30</v>
      </c>
      <c r="AA218" t="str">
        <f>IF(NOT("https://maps.app.goo.gl/wx7BCUua3V5JrTFD7" = ""), HYPERLINK("https://maps.app.goo.gl/wx7BCUua3V5JrTFD7", "موقع"), "")</f>
        <v>موقع</v>
      </c>
    </row>
    <row r="219" spans="1:27" x14ac:dyDescent="0.3">
      <c r="A219" t="s">
        <v>801</v>
      </c>
      <c r="B219" s="8">
        <v>46282.623217592591</v>
      </c>
      <c r="C219" t="s">
        <v>2</v>
      </c>
      <c r="D219" t="s">
        <v>59</v>
      </c>
      <c r="E219" t="s">
        <v>770</v>
      </c>
      <c r="F219" t="s">
        <v>2916</v>
      </c>
      <c r="G219" t="s">
        <v>21</v>
      </c>
      <c r="H219" t="s">
        <v>747</v>
      </c>
      <c r="I219" t="s">
        <v>748</v>
      </c>
      <c r="J219" t="s">
        <v>768</v>
      </c>
      <c r="K219" t="s">
        <v>769</v>
      </c>
      <c r="L219">
        <v>124</v>
      </c>
      <c r="M219">
        <v>924</v>
      </c>
      <c r="N219">
        <v>23000</v>
      </c>
      <c r="O219">
        <v>32.059694</v>
      </c>
      <c r="P219">
        <v>36.123694</v>
      </c>
      <c r="Q219" t="s">
        <v>802</v>
      </c>
      <c r="S219" t="s">
        <v>2525</v>
      </c>
      <c r="U219" t="s">
        <v>2917</v>
      </c>
      <c r="V219" t="s">
        <v>73</v>
      </c>
      <c r="W219" t="s">
        <v>803</v>
      </c>
      <c r="Y219" t="s">
        <v>30</v>
      </c>
      <c r="Z219" t="s">
        <v>30</v>
      </c>
      <c r="AA219" t="str">
        <f>IF(NOT("https://maps.app.goo.gl/CaAziHTC1ykb6X9UA" = ""), HYPERLINK("https://maps.app.goo.gl/CaAziHTC1ykb6X9UA", "موقع"), "")</f>
        <v>موقع</v>
      </c>
    </row>
    <row r="220" spans="1:27" x14ac:dyDescent="0.3">
      <c r="A220" t="s">
        <v>804</v>
      </c>
      <c r="B220" s="8">
        <v>46282.623217592591</v>
      </c>
      <c r="C220" t="s">
        <v>2</v>
      </c>
      <c r="D220" t="s">
        <v>59</v>
      </c>
      <c r="E220" t="s">
        <v>770</v>
      </c>
      <c r="F220" t="s">
        <v>2918</v>
      </c>
      <c r="G220" t="s">
        <v>21</v>
      </c>
      <c r="H220" t="s">
        <v>747</v>
      </c>
      <c r="I220" t="s">
        <v>748</v>
      </c>
      <c r="J220" t="s">
        <v>768</v>
      </c>
      <c r="K220" t="s">
        <v>769</v>
      </c>
      <c r="L220">
        <v>121</v>
      </c>
      <c r="M220">
        <v>871</v>
      </c>
      <c r="N220">
        <v>23000</v>
      </c>
      <c r="O220">
        <v>32.062556000000001</v>
      </c>
      <c r="P220">
        <v>36.123139000000002</v>
      </c>
      <c r="Q220" t="s">
        <v>805</v>
      </c>
      <c r="S220" t="s">
        <v>2525</v>
      </c>
      <c r="U220" t="s">
        <v>2919</v>
      </c>
      <c r="V220" t="s">
        <v>73</v>
      </c>
      <c r="W220" t="s">
        <v>806</v>
      </c>
      <c r="Y220" t="s">
        <v>30</v>
      </c>
      <c r="Z220" t="s">
        <v>30</v>
      </c>
      <c r="AA220" t="str">
        <f>IF(NOT("https://maps.app.goo.gl/5GeiL9KaKbAcKz6CA" = ""), HYPERLINK("https://maps.app.goo.gl/5GeiL9KaKbAcKz6CA", "موقع"), "")</f>
        <v>موقع</v>
      </c>
    </row>
    <row r="221" spans="1:27" x14ac:dyDescent="0.3">
      <c r="A221" t="s">
        <v>807</v>
      </c>
      <c r="B221" s="8">
        <v>46282.623217592591</v>
      </c>
      <c r="C221" t="s">
        <v>2</v>
      </c>
      <c r="D221" t="s">
        <v>59</v>
      </c>
      <c r="E221" t="s">
        <v>770</v>
      </c>
      <c r="F221" t="s">
        <v>2920</v>
      </c>
      <c r="G221" t="s">
        <v>21</v>
      </c>
      <c r="H221" t="s">
        <v>747</v>
      </c>
      <c r="I221" t="s">
        <v>748</v>
      </c>
      <c r="J221" t="s">
        <v>768</v>
      </c>
      <c r="K221" t="s">
        <v>769</v>
      </c>
      <c r="L221">
        <v>104</v>
      </c>
      <c r="M221">
        <v>936</v>
      </c>
      <c r="N221">
        <v>23000</v>
      </c>
      <c r="O221">
        <v>32.058999999999997</v>
      </c>
      <c r="P221">
        <v>36.114305999999999</v>
      </c>
      <c r="Q221" t="s">
        <v>802</v>
      </c>
      <c r="S221" t="s">
        <v>2525</v>
      </c>
      <c r="U221" t="s">
        <v>2921</v>
      </c>
      <c r="V221" t="s">
        <v>28</v>
      </c>
      <c r="W221" t="s">
        <v>808</v>
      </c>
      <c r="Y221" t="s">
        <v>30</v>
      </c>
      <c r="Z221" t="s">
        <v>30</v>
      </c>
      <c r="AA221" t="str">
        <f>IF(NOT("https://maps.app.goo.gl/LhEUMhhPFrEyAu7o7" = ""), HYPERLINK("https://maps.app.goo.gl/LhEUMhhPFrEyAu7o7", "موقع"), "")</f>
        <v>موقع</v>
      </c>
    </row>
    <row r="222" spans="1:27" x14ac:dyDescent="0.3">
      <c r="A222" t="s">
        <v>809</v>
      </c>
      <c r="B222" s="8">
        <v>46282.623217592591</v>
      </c>
      <c r="C222" t="s">
        <v>2</v>
      </c>
      <c r="D222" t="s">
        <v>59</v>
      </c>
      <c r="E222" t="s">
        <v>770</v>
      </c>
      <c r="F222" t="s">
        <v>2922</v>
      </c>
      <c r="G222" t="s">
        <v>21</v>
      </c>
      <c r="H222" t="s">
        <v>747</v>
      </c>
      <c r="I222" t="s">
        <v>748</v>
      </c>
      <c r="J222" t="s">
        <v>768</v>
      </c>
      <c r="K222" t="s">
        <v>769</v>
      </c>
      <c r="L222">
        <v>113</v>
      </c>
      <c r="M222">
        <v>881</v>
      </c>
      <c r="N222">
        <v>24000</v>
      </c>
      <c r="Q222" t="s">
        <v>786</v>
      </c>
      <c r="S222" t="s">
        <v>2525</v>
      </c>
      <c r="V222" t="s">
        <v>43</v>
      </c>
      <c r="W222" t="s">
        <v>810</v>
      </c>
      <c r="Y222" t="s">
        <v>30</v>
      </c>
      <c r="Z222" t="s">
        <v>30</v>
      </c>
      <c r="AA222" t="s">
        <v>30</v>
      </c>
    </row>
    <row r="223" spans="1:27" x14ac:dyDescent="0.3">
      <c r="A223" t="s">
        <v>811</v>
      </c>
      <c r="B223" s="8">
        <v>46282.623217592591</v>
      </c>
      <c r="C223" t="s">
        <v>2</v>
      </c>
      <c r="D223" t="s">
        <v>59</v>
      </c>
      <c r="E223" t="s">
        <v>814</v>
      </c>
      <c r="F223" t="s">
        <v>2923</v>
      </c>
      <c r="G223" t="s">
        <v>21</v>
      </c>
      <c r="H223" t="s">
        <v>747</v>
      </c>
      <c r="I223" t="s">
        <v>748</v>
      </c>
      <c r="J223" t="s">
        <v>812</v>
      </c>
      <c r="K223" t="s">
        <v>813</v>
      </c>
      <c r="L223">
        <v>-101</v>
      </c>
      <c r="M223">
        <v>4257</v>
      </c>
      <c r="N223">
        <v>26000</v>
      </c>
      <c r="O223">
        <v>32.095166999999996</v>
      </c>
      <c r="P223">
        <v>36.103389</v>
      </c>
      <c r="Q223" t="s">
        <v>67</v>
      </c>
      <c r="S223" t="s">
        <v>2525</v>
      </c>
      <c r="U223" t="s">
        <v>2924</v>
      </c>
      <c r="V223" t="s">
        <v>33</v>
      </c>
      <c r="W223" t="s">
        <v>815</v>
      </c>
      <c r="Y223" t="s">
        <v>30</v>
      </c>
      <c r="Z223" t="s">
        <v>30</v>
      </c>
      <c r="AA223" t="str">
        <f>IF(NOT("https://maps.app.goo.gl/pBfKHzuy9FCiy7SL6" = ""), HYPERLINK("https://maps.app.goo.gl/pBfKHzuy9FCiy7SL6", "موقع"), "")</f>
        <v>موقع</v>
      </c>
    </row>
    <row r="224" spans="1:27" x14ac:dyDescent="0.3">
      <c r="A224" t="s">
        <v>816</v>
      </c>
      <c r="B224" s="8">
        <v>46282.623217592591</v>
      </c>
      <c r="C224" t="s">
        <v>2</v>
      </c>
      <c r="D224" t="s">
        <v>59</v>
      </c>
      <c r="E224" t="s">
        <v>814</v>
      </c>
      <c r="F224" t="s">
        <v>2925</v>
      </c>
      <c r="G224" t="s">
        <v>21</v>
      </c>
      <c r="H224" t="s">
        <v>747</v>
      </c>
      <c r="I224" t="s">
        <v>748</v>
      </c>
      <c r="J224" t="s">
        <v>812</v>
      </c>
      <c r="K224" t="s">
        <v>813</v>
      </c>
      <c r="L224">
        <v>122</v>
      </c>
      <c r="M224">
        <v>10322</v>
      </c>
      <c r="N224">
        <v>28000</v>
      </c>
      <c r="O224">
        <v>32.094389</v>
      </c>
      <c r="P224">
        <v>36.101388999999998</v>
      </c>
      <c r="Q224" t="s">
        <v>128</v>
      </c>
      <c r="S224" t="s">
        <v>2525</v>
      </c>
      <c r="U224" t="s">
        <v>2926</v>
      </c>
      <c r="V224" t="s">
        <v>73</v>
      </c>
      <c r="W224" t="s">
        <v>817</v>
      </c>
      <c r="Y224" t="s">
        <v>30</v>
      </c>
      <c r="Z224" t="s">
        <v>30</v>
      </c>
      <c r="AA224" t="str">
        <f>IF(NOT("https://maps.app.goo.gl/xwKUBLp2ahJEjVGXA" = ""), HYPERLINK("https://maps.app.goo.gl/xwKUBLp2ahJEjVGXA", "موقع"), "")</f>
        <v>موقع</v>
      </c>
    </row>
    <row r="225" spans="1:27" x14ac:dyDescent="0.3">
      <c r="A225" t="s">
        <v>818</v>
      </c>
      <c r="B225" s="8">
        <v>46282.623217592591</v>
      </c>
      <c r="C225" t="s">
        <v>2</v>
      </c>
      <c r="D225" t="s">
        <v>59</v>
      </c>
      <c r="E225" t="s">
        <v>819</v>
      </c>
      <c r="F225" t="s">
        <v>2927</v>
      </c>
      <c r="G225" t="s">
        <v>21</v>
      </c>
      <c r="H225" t="s">
        <v>747</v>
      </c>
      <c r="I225" t="s">
        <v>748</v>
      </c>
      <c r="J225" t="s">
        <v>754</v>
      </c>
      <c r="K225" t="s">
        <v>755</v>
      </c>
      <c r="L225">
        <v>131</v>
      </c>
      <c r="M225">
        <v>3081</v>
      </c>
      <c r="N225">
        <v>29000</v>
      </c>
      <c r="O225">
        <v>31.980582999999999</v>
      </c>
      <c r="P225">
        <v>36.023305999999998</v>
      </c>
      <c r="Q225" t="s">
        <v>67</v>
      </c>
      <c r="S225" t="s">
        <v>2525</v>
      </c>
      <c r="U225" t="s">
        <v>2928</v>
      </c>
      <c r="V225" t="s">
        <v>55</v>
      </c>
      <c r="W225" t="s">
        <v>820</v>
      </c>
      <c r="Y225" t="s">
        <v>30</v>
      </c>
      <c r="Z225" t="s">
        <v>30</v>
      </c>
      <c r="AA225" t="str">
        <f>IF(NOT("https://maps.app.goo.gl/FLwiycD3vFThcT359" = ""), HYPERLINK("https://maps.app.goo.gl/FLwiycD3vFThcT359", "موقع"), "")</f>
        <v>موقع</v>
      </c>
    </row>
    <row r="226" spans="1:27" x14ac:dyDescent="0.3">
      <c r="A226" t="s">
        <v>821</v>
      </c>
      <c r="B226" s="8">
        <v>46282.623217592591</v>
      </c>
      <c r="C226" t="s">
        <v>2</v>
      </c>
      <c r="D226" t="s">
        <v>59</v>
      </c>
      <c r="E226" t="s">
        <v>823</v>
      </c>
      <c r="F226" t="s">
        <v>2929</v>
      </c>
      <c r="G226" t="s">
        <v>21</v>
      </c>
      <c r="H226" t="s">
        <v>747</v>
      </c>
      <c r="I226" t="s">
        <v>748</v>
      </c>
      <c r="J226" t="s">
        <v>812</v>
      </c>
      <c r="K226" t="s">
        <v>822</v>
      </c>
      <c r="L226">
        <v>133</v>
      </c>
      <c r="M226">
        <v>5767</v>
      </c>
      <c r="N226">
        <v>30000</v>
      </c>
      <c r="Q226" t="s">
        <v>824</v>
      </c>
      <c r="S226" t="s">
        <v>2525</v>
      </c>
      <c r="V226" t="s">
        <v>55</v>
      </c>
      <c r="W226" t="s">
        <v>825</v>
      </c>
      <c r="Y226" t="s">
        <v>30</v>
      </c>
      <c r="Z226" t="s">
        <v>30</v>
      </c>
      <c r="AA226" t="s">
        <v>30</v>
      </c>
    </row>
    <row r="227" spans="1:27" x14ac:dyDescent="0.3">
      <c r="A227" t="s">
        <v>826</v>
      </c>
      <c r="B227" s="8">
        <v>46282.623217592591</v>
      </c>
      <c r="C227" t="s">
        <v>2</v>
      </c>
      <c r="D227" t="s">
        <v>59</v>
      </c>
      <c r="E227" t="s">
        <v>829</v>
      </c>
      <c r="F227" t="s">
        <v>2930</v>
      </c>
      <c r="G227" t="s">
        <v>21</v>
      </c>
      <c r="H227" t="s">
        <v>747</v>
      </c>
      <c r="I227" t="s">
        <v>748</v>
      </c>
      <c r="J227" t="s">
        <v>827</v>
      </c>
      <c r="K227" t="s">
        <v>828</v>
      </c>
      <c r="L227">
        <v>111</v>
      </c>
      <c r="M227">
        <v>279</v>
      </c>
      <c r="N227">
        <v>31000</v>
      </c>
      <c r="O227">
        <v>32.135416999999997</v>
      </c>
      <c r="P227">
        <v>36.074694000000001</v>
      </c>
      <c r="Q227" t="s">
        <v>830</v>
      </c>
      <c r="S227" t="s">
        <v>2525</v>
      </c>
      <c r="U227" t="s">
        <v>2931</v>
      </c>
      <c r="V227" t="s">
        <v>43</v>
      </c>
      <c r="W227" t="s">
        <v>831</v>
      </c>
      <c r="Y227" t="s">
        <v>30</v>
      </c>
      <c r="Z227" t="s">
        <v>30</v>
      </c>
      <c r="AA227" t="str">
        <f>IF(NOT("https://maps.app.goo.gl/sKYmv21vEuW86YAH9" = ""), HYPERLINK("https://maps.app.goo.gl/sKYmv21vEuW86YAH9", "موقع"), "")</f>
        <v>موقع</v>
      </c>
    </row>
    <row r="228" spans="1:27" x14ac:dyDescent="0.3">
      <c r="A228" t="s">
        <v>832</v>
      </c>
      <c r="B228" s="8">
        <v>46282.623217592591</v>
      </c>
      <c r="C228" t="s">
        <v>2</v>
      </c>
      <c r="D228" t="s">
        <v>59</v>
      </c>
      <c r="E228" t="s">
        <v>814</v>
      </c>
      <c r="F228" t="s">
        <v>2932</v>
      </c>
      <c r="G228" t="s">
        <v>21</v>
      </c>
      <c r="H228" t="s">
        <v>747</v>
      </c>
      <c r="I228" t="s">
        <v>748</v>
      </c>
      <c r="J228" t="s">
        <v>812</v>
      </c>
      <c r="K228" t="s">
        <v>813</v>
      </c>
      <c r="L228">
        <v>131</v>
      </c>
      <c r="M228">
        <v>11674</v>
      </c>
      <c r="N228">
        <v>34000</v>
      </c>
      <c r="Q228" t="s">
        <v>208</v>
      </c>
      <c r="S228" t="s">
        <v>2525</v>
      </c>
      <c r="V228" t="s">
        <v>43</v>
      </c>
      <c r="W228" t="s">
        <v>833</v>
      </c>
      <c r="Y228" t="s">
        <v>30</v>
      </c>
      <c r="Z228" t="s">
        <v>30</v>
      </c>
      <c r="AA228" t="s">
        <v>30</v>
      </c>
    </row>
    <row r="229" spans="1:27" x14ac:dyDescent="0.3">
      <c r="A229" t="s">
        <v>834</v>
      </c>
      <c r="B229" s="8">
        <v>46282.623217592591</v>
      </c>
      <c r="C229" t="s">
        <v>2</v>
      </c>
      <c r="D229" t="s">
        <v>59</v>
      </c>
      <c r="E229" t="s">
        <v>814</v>
      </c>
      <c r="F229" t="s">
        <v>2933</v>
      </c>
      <c r="G229" t="s">
        <v>21</v>
      </c>
      <c r="H229" t="s">
        <v>747</v>
      </c>
      <c r="I229" t="s">
        <v>748</v>
      </c>
      <c r="J229" t="s">
        <v>812</v>
      </c>
      <c r="K229" t="s">
        <v>813</v>
      </c>
      <c r="L229">
        <v>231</v>
      </c>
      <c r="M229">
        <v>2078</v>
      </c>
      <c r="N229">
        <v>36000</v>
      </c>
      <c r="Q229" t="s">
        <v>136</v>
      </c>
      <c r="S229" t="s">
        <v>2525</v>
      </c>
      <c r="V229" t="s">
        <v>43</v>
      </c>
      <c r="W229" t="s">
        <v>835</v>
      </c>
      <c r="Y229" t="s">
        <v>30</v>
      </c>
      <c r="Z229" t="s">
        <v>30</v>
      </c>
      <c r="AA229" t="s">
        <v>30</v>
      </c>
    </row>
    <row r="230" spans="1:27" x14ac:dyDescent="0.3">
      <c r="A230" t="s">
        <v>836</v>
      </c>
      <c r="B230" s="8">
        <v>46282.623217592591</v>
      </c>
      <c r="C230" t="s">
        <v>2</v>
      </c>
      <c r="D230" t="s">
        <v>59</v>
      </c>
      <c r="E230" t="s">
        <v>751</v>
      </c>
      <c r="F230" t="s">
        <v>2934</v>
      </c>
      <c r="G230" t="s">
        <v>21</v>
      </c>
      <c r="H230" t="s">
        <v>747</v>
      </c>
      <c r="I230" t="s">
        <v>748</v>
      </c>
      <c r="J230" t="s">
        <v>749</v>
      </c>
      <c r="K230" t="s">
        <v>750</v>
      </c>
      <c r="L230">
        <v>111</v>
      </c>
      <c r="M230">
        <v>139</v>
      </c>
      <c r="N230">
        <v>37000</v>
      </c>
      <c r="O230">
        <v>31.881806000000001</v>
      </c>
      <c r="P230">
        <v>36.827778000000002</v>
      </c>
      <c r="Q230" t="s">
        <v>103</v>
      </c>
      <c r="S230" t="s">
        <v>2525</v>
      </c>
      <c r="U230" t="s">
        <v>2898</v>
      </c>
      <c r="V230" t="s">
        <v>43</v>
      </c>
      <c r="W230" t="s">
        <v>752</v>
      </c>
      <c r="Y230" t="s">
        <v>30</v>
      </c>
      <c r="Z230" t="s">
        <v>30</v>
      </c>
      <c r="AA230" t="str">
        <f>IF(NOT("https://maps.app.goo.gl/Lr51HveMk3JcArJx8" = ""), HYPERLINK("https://maps.app.goo.gl/Lr51HveMk3JcArJx8", "موقع"), "")</f>
        <v>موقع</v>
      </c>
    </row>
    <row r="231" spans="1:27" x14ac:dyDescent="0.3">
      <c r="A231" t="s">
        <v>837</v>
      </c>
      <c r="B231" s="8">
        <v>46282.623217592591</v>
      </c>
      <c r="C231" t="s">
        <v>2</v>
      </c>
      <c r="D231" t="s">
        <v>59</v>
      </c>
      <c r="E231" t="s">
        <v>814</v>
      </c>
      <c r="F231" t="s">
        <v>2935</v>
      </c>
      <c r="G231" t="s">
        <v>21</v>
      </c>
      <c r="H231" t="s">
        <v>747</v>
      </c>
      <c r="I231" t="s">
        <v>748</v>
      </c>
      <c r="J231" t="s">
        <v>812</v>
      </c>
      <c r="K231" t="s">
        <v>813</v>
      </c>
      <c r="L231">
        <v>113</v>
      </c>
      <c r="M231">
        <v>2086</v>
      </c>
      <c r="N231">
        <v>37000</v>
      </c>
      <c r="Q231" t="s">
        <v>838</v>
      </c>
      <c r="S231" t="s">
        <v>2525</v>
      </c>
      <c r="V231" t="s">
        <v>43</v>
      </c>
      <c r="W231" t="s">
        <v>839</v>
      </c>
      <c r="Y231" t="s">
        <v>30</v>
      </c>
      <c r="Z231" t="s">
        <v>30</v>
      </c>
      <c r="AA231" t="s">
        <v>30</v>
      </c>
    </row>
    <row r="232" spans="1:27" x14ac:dyDescent="0.3">
      <c r="A232" t="s">
        <v>840</v>
      </c>
      <c r="B232" s="8">
        <v>46282.623217592591</v>
      </c>
      <c r="C232" t="s">
        <v>2</v>
      </c>
      <c r="D232" t="s">
        <v>59</v>
      </c>
      <c r="E232" t="s">
        <v>814</v>
      </c>
      <c r="F232" t="s">
        <v>2936</v>
      </c>
      <c r="G232" t="s">
        <v>21</v>
      </c>
      <c r="H232" t="s">
        <v>747</v>
      </c>
      <c r="I232" t="s">
        <v>748</v>
      </c>
      <c r="J232" t="s">
        <v>812</v>
      </c>
      <c r="K232" t="s">
        <v>813</v>
      </c>
      <c r="L232">
        <v>112</v>
      </c>
      <c r="M232">
        <v>9160</v>
      </c>
      <c r="N232">
        <v>43000</v>
      </c>
      <c r="Q232" t="s">
        <v>277</v>
      </c>
      <c r="S232" t="s">
        <v>2525</v>
      </c>
      <c r="V232" t="s">
        <v>43</v>
      </c>
      <c r="W232" t="s">
        <v>841</v>
      </c>
      <c r="Y232" t="s">
        <v>30</v>
      </c>
      <c r="Z232" t="s">
        <v>30</v>
      </c>
      <c r="AA232" t="s">
        <v>30</v>
      </c>
    </row>
    <row r="233" spans="1:27" x14ac:dyDescent="0.3">
      <c r="A233" t="s">
        <v>842</v>
      </c>
      <c r="B233" s="8">
        <v>46282.623217592591</v>
      </c>
      <c r="C233" t="s">
        <v>2</v>
      </c>
      <c r="D233" t="s">
        <v>59</v>
      </c>
      <c r="E233" t="s">
        <v>814</v>
      </c>
      <c r="F233" t="s">
        <v>2937</v>
      </c>
      <c r="G233" t="s">
        <v>21</v>
      </c>
      <c r="H233" t="s">
        <v>747</v>
      </c>
      <c r="I233" t="s">
        <v>748</v>
      </c>
      <c r="J233" t="s">
        <v>812</v>
      </c>
      <c r="K233" t="s">
        <v>813</v>
      </c>
      <c r="L233">
        <v>201</v>
      </c>
      <c r="M233">
        <v>11611</v>
      </c>
      <c r="N233">
        <v>43000</v>
      </c>
      <c r="O233">
        <v>32.102778000000001</v>
      </c>
      <c r="P233">
        <v>36.095332999999997</v>
      </c>
      <c r="Q233" t="s">
        <v>148</v>
      </c>
      <c r="S233" t="s">
        <v>2525</v>
      </c>
      <c r="U233" t="s">
        <v>2938</v>
      </c>
      <c r="V233" t="s">
        <v>43</v>
      </c>
      <c r="W233" t="s">
        <v>843</v>
      </c>
      <c r="Y233" t="s">
        <v>30</v>
      </c>
      <c r="Z233" t="s">
        <v>30</v>
      </c>
      <c r="AA233" t="str">
        <f>IF(NOT("https://maps.app.goo.gl/ADdAk1Pb68KLjcqBA" = ""), HYPERLINK("https://maps.app.goo.gl/ADdAk1Pb68KLjcqBA", "موقع"), "")</f>
        <v>موقع</v>
      </c>
    </row>
    <row r="234" spans="1:27" x14ac:dyDescent="0.3">
      <c r="A234" t="s">
        <v>844</v>
      </c>
      <c r="B234" s="8">
        <v>46282.623217592591</v>
      </c>
      <c r="C234" t="s">
        <v>2</v>
      </c>
      <c r="D234" t="s">
        <v>59</v>
      </c>
      <c r="E234" t="s">
        <v>814</v>
      </c>
      <c r="F234" t="s">
        <v>2939</v>
      </c>
      <c r="G234" t="s">
        <v>21</v>
      </c>
      <c r="H234" t="s">
        <v>747</v>
      </c>
      <c r="I234" t="s">
        <v>748</v>
      </c>
      <c r="J234" t="s">
        <v>812</v>
      </c>
      <c r="K234" t="s">
        <v>813</v>
      </c>
      <c r="L234">
        <v>232</v>
      </c>
      <c r="M234">
        <v>11239</v>
      </c>
      <c r="N234">
        <v>44000</v>
      </c>
      <c r="Q234" t="s">
        <v>845</v>
      </c>
      <c r="S234" t="s">
        <v>2525</v>
      </c>
      <c r="V234" t="s">
        <v>55</v>
      </c>
      <c r="W234" t="s">
        <v>846</v>
      </c>
      <c r="Y234" t="s">
        <v>30</v>
      </c>
      <c r="Z234" t="s">
        <v>30</v>
      </c>
      <c r="AA234" t="s">
        <v>30</v>
      </c>
    </row>
    <row r="235" spans="1:27" x14ac:dyDescent="0.3">
      <c r="A235" t="s">
        <v>847</v>
      </c>
      <c r="B235" s="8">
        <v>46282.623217592591</v>
      </c>
      <c r="C235" t="s">
        <v>2</v>
      </c>
      <c r="D235" t="s">
        <v>59</v>
      </c>
      <c r="E235" t="s">
        <v>814</v>
      </c>
      <c r="F235" t="s">
        <v>2940</v>
      </c>
      <c r="G235" t="s">
        <v>21</v>
      </c>
      <c r="H235" t="s">
        <v>747</v>
      </c>
      <c r="I235" t="s">
        <v>748</v>
      </c>
      <c r="J235" t="s">
        <v>812</v>
      </c>
      <c r="K235" t="s">
        <v>813</v>
      </c>
      <c r="L235">
        <v>132</v>
      </c>
      <c r="M235">
        <v>5270</v>
      </c>
      <c r="N235">
        <v>47000</v>
      </c>
      <c r="Q235" t="s">
        <v>160</v>
      </c>
      <c r="S235" t="s">
        <v>2525</v>
      </c>
      <c r="V235" t="s">
        <v>55</v>
      </c>
      <c r="W235" t="s">
        <v>848</v>
      </c>
      <c r="Y235" t="s">
        <v>30</v>
      </c>
      <c r="Z235" t="s">
        <v>30</v>
      </c>
      <c r="AA235" t="s">
        <v>30</v>
      </c>
    </row>
    <row r="236" spans="1:27" x14ac:dyDescent="0.3">
      <c r="A236" t="s">
        <v>849</v>
      </c>
      <c r="B236" s="8">
        <v>46282.623217592591</v>
      </c>
      <c r="C236" t="s">
        <v>2</v>
      </c>
      <c r="D236" t="s">
        <v>59</v>
      </c>
      <c r="E236" t="s">
        <v>814</v>
      </c>
      <c r="F236" t="s">
        <v>2941</v>
      </c>
      <c r="G236" t="s">
        <v>21</v>
      </c>
      <c r="H236" t="s">
        <v>747</v>
      </c>
      <c r="I236" t="s">
        <v>748</v>
      </c>
      <c r="J236" t="s">
        <v>812</v>
      </c>
      <c r="K236" t="s">
        <v>813</v>
      </c>
      <c r="L236">
        <v>101</v>
      </c>
      <c r="M236">
        <v>5905</v>
      </c>
      <c r="N236">
        <v>47000</v>
      </c>
      <c r="O236">
        <v>32.094444000000003</v>
      </c>
      <c r="P236">
        <v>36.097889000000002</v>
      </c>
      <c r="Q236" t="s">
        <v>850</v>
      </c>
      <c r="S236" t="s">
        <v>2525</v>
      </c>
      <c r="U236" t="s">
        <v>2942</v>
      </c>
      <c r="V236" t="s">
        <v>28</v>
      </c>
      <c r="W236" t="s">
        <v>851</v>
      </c>
      <c r="Y236" t="s">
        <v>30</v>
      </c>
      <c r="Z236" t="s">
        <v>30</v>
      </c>
      <c r="AA236" t="str">
        <f>IF(NOT("https://maps.app.goo.gl/K6r9TZZ5Cgvjmcq17" = ""), HYPERLINK("https://maps.app.goo.gl/K6r9TZZ5Cgvjmcq17", "موقع"), "")</f>
        <v>موقع</v>
      </c>
    </row>
    <row r="237" spans="1:27" x14ac:dyDescent="0.3">
      <c r="A237" t="s">
        <v>852</v>
      </c>
      <c r="B237" s="8">
        <v>46282.623217592591</v>
      </c>
      <c r="C237" t="s">
        <v>2</v>
      </c>
      <c r="D237" t="s">
        <v>59</v>
      </c>
      <c r="E237" t="s">
        <v>814</v>
      </c>
      <c r="F237" t="s">
        <v>2943</v>
      </c>
      <c r="G237" t="s">
        <v>21</v>
      </c>
      <c r="H237" t="s">
        <v>747</v>
      </c>
      <c r="I237" t="s">
        <v>748</v>
      </c>
      <c r="J237" t="s">
        <v>812</v>
      </c>
      <c r="K237" t="s">
        <v>813</v>
      </c>
      <c r="L237">
        <v>132</v>
      </c>
      <c r="M237">
        <v>11358</v>
      </c>
      <c r="N237">
        <v>58000</v>
      </c>
      <c r="O237">
        <v>32.102528</v>
      </c>
      <c r="P237">
        <v>36.101556000000002</v>
      </c>
      <c r="Q237" t="s">
        <v>186</v>
      </c>
      <c r="S237" t="s">
        <v>2525</v>
      </c>
      <c r="U237" t="s">
        <v>2944</v>
      </c>
      <c r="V237" t="s">
        <v>43</v>
      </c>
      <c r="W237" t="s">
        <v>853</v>
      </c>
      <c r="Y237" t="s">
        <v>30</v>
      </c>
      <c r="Z237" t="s">
        <v>30</v>
      </c>
      <c r="AA237" t="str">
        <f>IF(NOT("https://maps.app.goo.gl/fcKBGywg6fqF7Y9v5" = ""), HYPERLINK("https://maps.app.goo.gl/fcKBGywg6fqF7Y9v5", "موقع"), "")</f>
        <v>موقع</v>
      </c>
    </row>
    <row r="238" spans="1:27" x14ac:dyDescent="0.3">
      <c r="A238" t="s">
        <v>854</v>
      </c>
      <c r="B238" s="8">
        <v>46282.623217592591</v>
      </c>
      <c r="C238" t="s">
        <v>2</v>
      </c>
      <c r="D238" t="s">
        <v>59</v>
      </c>
      <c r="E238" t="s">
        <v>814</v>
      </c>
      <c r="F238" t="s">
        <v>2945</v>
      </c>
      <c r="G238" t="s">
        <v>21</v>
      </c>
      <c r="H238" t="s">
        <v>747</v>
      </c>
      <c r="I238" t="s">
        <v>748</v>
      </c>
      <c r="J238" t="s">
        <v>812</v>
      </c>
      <c r="K238" t="s">
        <v>813</v>
      </c>
      <c r="L238">
        <v>131</v>
      </c>
      <c r="M238">
        <v>11358</v>
      </c>
      <c r="N238">
        <v>60000</v>
      </c>
      <c r="O238">
        <v>32.102528</v>
      </c>
      <c r="P238">
        <v>36.101556000000002</v>
      </c>
      <c r="Q238" t="s">
        <v>855</v>
      </c>
      <c r="S238" t="s">
        <v>2525</v>
      </c>
      <c r="U238" t="s">
        <v>2946</v>
      </c>
      <c r="V238" t="s">
        <v>55</v>
      </c>
      <c r="W238" t="s">
        <v>856</v>
      </c>
      <c r="Y238" t="s">
        <v>30</v>
      </c>
      <c r="Z238" t="s">
        <v>30</v>
      </c>
      <c r="AA238" t="str">
        <f>IF(NOT("https://maps.app.goo.gl/irVVzZfw1xaBdn2d7" = ""), HYPERLINK("https://maps.app.goo.gl/irVVzZfw1xaBdn2d7", "موقع"), "")</f>
        <v>موقع</v>
      </c>
    </row>
    <row r="239" spans="1:27" x14ac:dyDescent="0.3">
      <c r="A239" t="s">
        <v>857</v>
      </c>
      <c r="B239" s="8">
        <v>46282.623217592591</v>
      </c>
      <c r="C239" t="s">
        <v>2</v>
      </c>
      <c r="D239" t="s">
        <v>59</v>
      </c>
      <c r="E239" t="s">
        <v>814</v>
      </c>
      <c r="F239" t="s">
        <v>2947</v>
      </c>
      <c r="G239" t="s">
        <v>21</v>
      </c>
      <c r="H239" t="s">
        <v>747</v>
      </c>
      <c r="I239" t="s">
        <v>748</v>
      </c>
      <c r="J239" t="s">
        <v>812</v>
      </c>
      <c r="K239" t="s">
        <v>813</v>
      </c>
      <c r="L239">
        <v>102</v>
      </c>
      <c r="M239">
        <v>10390</v>
      </c>
      <c r="N239">
        <v>82000</v>
      </c>
      <c r="O239">
        <v>32.101556000000002</v>
      </c>
      <c r="P239">
        <v>36.088250000000002</v>
      </c>
      <c r="Q239" t="s">
        <v>858</v>
      </c>
      <c r="S239" t="s">
        <v>2525</v>
      </c>
      <c r="U239" t="s">
        <v>2948</v>
      </c>
      <c r="V239" t="s">
        <v>28</v>
      </c>
      <c r="W239" t="s">
        <v>859</v>
      </c>
      <c r="Y239" t="s">
        <v>30</v>
      </c>
      <c r="Z239" t="s">
        <v>30</v>
      </c>
      <c r="AA239" t="str">
        <f>IF(NOT("https://maps.app.goo.gl/r1jKBj8YNCiGjmpx9" = ""), HYPERLINK("https://maps.app.goo.gl/r1jKBj8YNCiGjmpx9", "موقع"), "")</f>
        <v>موقع</v>
      </c>
    </row>
    <row r="240" spans="1:27" x14ac:dyDescent="0.3">
      <c r="A240" t="s">
        <v>860</v>
      </c>
      <c r="B240" s="8">
        <v>46282.623217592591</v>
      </c>
      <c r="C240" t="s">
        <v>2</v>
      </c>
      <c r="D240" t="s">
        <v>59</v>
      </c>
      <c r="F240" t="s">
        <v>2949</v>
      </c>
      <c r="G240" t="s">
        <v>21</v>
      </c>
      <c r="H240" t="s">
        <v>747</v>
      </c>
      <c r="I240" t="s">
        <v>748</v>
      </c>
      <c r="J240" t="s">
        <v>812</v>
      </c>
      <c r="K240" t="s">
        <v>813</v>
      </c>
      <c r="L240">
        <v>111</v>
      </c>
      <c r="M240">
        <v>2567</v>
      </c>
      <c r="O240">
        <v>32.097749999999998</v>
      </c>
      <c r="P240">
        <v>36.088472000000003</v>
      </c>
      <c r="Q240" t="s">
        <v>279</v>
      </c>
      <c r="S240" t="s">
        <v>2525</v>
      </c>
      <c r="U240" t="s">
        <v>2950</v>
      </c>
      <c r="V240" t="s">
        <v>43</v>
      </c>
      <c r="Y240" t="s">
        <v>30</v>
      </c>
      <c r="Z240" t="s">
        <v>30</v>
      </c>
      <c r="AA240" t="str">
        <f>IF(NOT("https://maps.app.goo.gl/dDsC9GmmpJkgWKw76" = ""), HYPERLINK("https://maps.app.goo.gl/dDsC9GmmpJkgWKw76", "موقع"), "")</f>
        <v>موقع</v>
      </c>
    </row>
    <row r="241" spans="1:27" x14ac:dyDescent="0.3">
      <c r="A241" t="s">
        <v>861</v>
      </c>
      <c r="B241" s="8">
        <v>46282.623217592591</v>
      </c>
      <c r="C241" t="s">
        <v>2</v>
      </c>
      <c r="D241" t="s">
        <v>59</v>
      </c>
      <c r="E241" t="s">
        <v>762</v>
      </c>
      <c r="F241" t="s">
        <v>2951</v>
      </c>
      <c r="G241" t="s">
        <v>21</v>
      </c>
      <c r="H241" t="s">
        <v>747</v>
      </c>
      <c r="I241" t="s">
        <v>748</v>
      </c>
      <c r="J241" t="s">
        <v>760</v>
      </c>
      <c r="K241" t="s">
        <v>765</v>
      </c>
      <c r="L241">
        <v>101</v>
      </c>
      <c r="M241">
        <v>1248</v>
      </c>
      <c r="Q241" t="s">
        <v>862</v>
      </c>
      <c r="S241" t="s">
        <v>2525</v>
      </c>
      <c r="V241" t="s">
        <v>28</v>
      </c>
      <c r="Y241" t="s">
        <v>30</v>
      </c>
      <c r="Z241" t="s">
        <v>30</v>
      </c>
      <c r="AA241" t="s">
        <v>30</v>
      </c>
    </row>
    <row r="242" spans="1:27" x14ac:dyDescent="0.3">
      <c r="A242" t="s">
        <v>863</v>
      </c>
      <c r="B242" s="8">
        <v>46282.623217592591</v>
      </c>
      <c r="C242" t="s">
        <v>2</v>
      </c>
      <c r="D242" t="s">
        <v>59</v>
      </c>
      <c r="F242" t="s">
        <v>2952</v>
      </c>
      <c r="G242" t="s">
        <v>21</v>
      </c>
      <c r="H242" t="s">
        <v>747</v>
      </c>
      <c r="I242" t="s">
        <v>748</v>
      </c>
      <c r="J242" t="s">
        <v>754</v>
      </c>
      <c r="K242" t="s">
        <v>755</v>
      </c>
      <c r="L242">
        <v>-101</v>
      </c>
      <c r="M242">
        <v>3290</v>
      </c>
      <c r="O242">
        <v>31.986332999999998</v>
      </c>
      <c r="P242">
        <v>36.025750000000002</v>
      </c>
      <c r="Q242" t="s">
        <v>864</v>
      </c>
      <c r="S242" t="s">
        <v>2525</v>
      </c>
      <c r="U242" t="s">
        <v>2953</v>
      </c>
      <c r="V242" t="s">
        <v>33</v>
      </c>
      <c r="Y242" t="s">
        <v>30</v>
      </c>
      <c r="Z242" t="s">
        <v>30</v>
      </c>
      <c r="AA242" t="str">
        <f>IF(NOT("https://maps.app.goo.gl/fWA4ea9XrfvHQNHF7" = ""), HYPERLINK("https://maps.app.goo.gl/fWA4ea9XrfvHQNHF7", "موقع"), "")</f>
        <v>موقع</v>
      </c>
    </row>
    <row r="243" spans="1:27" x14ac:dyDescent="0.3">
      <c r="A243" t="s">
        <v>865</v>
      </c>
      <c r="B243" s="8">
        <v>46282.623217592591</v>
      </c>
      <c r="C243" t="s">
        <v>2</v>
      </c>
      <c r="D243" t="s">
        <v>59</v>
      </c>
      <c r="E243" t="s">
        <v>819</v>
      </c>
      <c r="F243" t="s">
        <v>2954</v>
      </c>
      <c r="G243" t="s">
        <v>21</v>
      </c>
      <c r="H243" t="s">
        <v>747</v>
      </c>
      <c r="I243" t="s">
        <v>748</v>
      </c>
      <c r="J243" t="s">
        <v>754</v>
      </c>
      <c r="K243" t="s">
        <v>755</v>
      </c>
      <c r="L243">
        <v>132</v>
      </c>
      <c r="M243">
        <v>3081</v>
      </c>
      <c r="O243">
        <v>31.980582999999999</v>
      </c>
      <c r="P243">
        <v>36.023305999999998</v>
      </c>
      <c r="Q243" t="s">
        <v>67</v>
      </c>
      <c r="R243" t="s">
        <v>2955</v>
      </c>
      <c r="S243" t="s">
        <v>2579</v>
      </c>
      <c r="U243" t="s">
        <v>2928</v>
      </c>
      <c r="V243" t="s">
        <v>55</v>
      </c>
      <c r="Y243" t="s">
        <v>30</v>
      </c>
      <c r="Z243" t="str">
        <f>IF(NOT("https://truemarkets3d.net/3d-virtual-tour/housingbank-realestate/phase3/aq-re-100026/index.html" = ""), HYPERLINK("https://truemarkets3d.net/3d-virtual-tour/housingbank-realestate/phase3/aq-re-100026/index.html", "جولة"), "")</f>
        <v>جولة</v>
      </c>
      <c r="AA243" t="str">
        <f>IF(NOT("https://maps.app.goo.gl/FLwiycD3vFThcT359" = ""), HYPERLINK("https://maps.app.goo.gl/FLwiycD3vFThcT359", "موقع"), "")</f>
        <v>موقع</v>
      </c>
    </row>
    <row r="244" spans="1:27" x14ac:dyDescent="0.3">
      <c r="A244" t="s">
        <v>866</v>
      </c>
      <c r="B244" s="8">
        <v>46282.623217592591</v>
      </c>
      <c r="C244" t="s">
        <v>2</v>
      </c>
      <c r="D244" t="s">
        <v>59</v>
      </c>
      <c r="E244" t="s">
        <v>814</v>
      </c>
      <c r="F244" t="s">
        <v>2956</v>
      </c>
      <c r="G244" t="s">
        <v>21</v>
      </c>
      <c r="H244" t="s">
        <v>747</v>
      </c>
      <c r="I244" t="s">
        <v>748</v>
      </c>
      <c r="J244" t="s">
        <v>812</v>
      </c>
      <c r="K244" t="s">
        <v>813</v>
      </c>
      <c r="L244">
        <v>113</v>
      </c>
      <c r="M244">
        <v>8602</v>
      </c>
      <c r="Q244" t="s">
        <v>867</v>
      </c>
      <c r="S244" t="s">
        <v>2525</v>
      </c>
      <c r="V244" t="s">
        <v>43</v>
      </c>
      <c r="Y244" t="s">
        <v>30</v>
      </c>
      <c r="Z244" t="s">
        <v>30</v>
      </c>
      <c r="AA244" t="s">
        <v>30</v>
      </c>
    </row>
    <row r="245" spans="1:27" x14ac:dyDescent="0.3">
      <c r="A245" t="s">
        <v>868</v>
      </c>
      <c r="B245" s="8">
        <v>46282.623217592591</v>
      </c>
      <c r="C245" t="s">
        <v>2</v>
      </c>
      <c r="D245" t="s">
        <v>59</v>
      </c>
      <c r="E245" t="s">
        <v>814</v>
      </c>
      <c r="F245" t="s">
        <v>2957</v>
      </c>
      <c r="G245" t="s">
        <v>21</v>
      </c>
      <c r="H245" t="s">
        <v>747</v>
      </c>
      <c r="I245" t="s">
        <v>748</v>
      </c>
      <c r="J245" t="s">
        <v>812</v>
      </c>
      <c r="K245" t="s">
        <v>822</v>
      </c>
      <c r="L245">
        <v>113</v>
      </c>
      <c r="M245">
        <v>4361</v>
      </c>
      <c r="Q245" t="s">
        <v>277</v>
      </c>
      <c r="S245" t="s">
        <v>2525</v>
      </c>
      <c r="V245" t="s">
        <v>43</v>
      </c>
      <c r="Y245" t="s">
        <v>30</v>
      </c>
      <c r="Z245" t="s">
        <v>30</v>
      </c>
      <c r="AA245" t="s">
        <v>30</v>
      </c>
    </row>
    <row r="246" spans="1:27" x14ac:dyDescent="0.3">
      <c r="A246" t="s">
        <v>869</v>
      </c>
      <c r="B246" s="8">
        <v>46282.623217592591</v>
      </c>
      <c r="C246" t="s">
        <v>2</v>
      </c>
      <c r="D246" t="s">
        <v>59</v>
      </c>
      <c r="E246" t="s">
        <v>782</v>
      </c>
      <c r="F246" t="s">
        <v>2958</v>
      </c>
      <c r="G246" t="s">
        <v>21</v>
      </c>
      <c r="H246" t="s">
        <v>747</v>
      </c>
      <c r="I246" t="s">
        <v>748</v>
      </c>
      <c r="J246" t="s">
        <v>780</v>
      </c>
      <c r="K246" t="s">
        <v>781</v>
      </c>
      <c r="L246">
        <v>101</v>
      </c>
      <c r="M246">
        <v>701</v>
      </c>
      <c r="O246">
        <v>32.037638999999999</v>
      </c>
      <c r="P246">
        <v>36.091861000000002</v>
      </c>
      <c r="Q246" t="s">
        <v>783</v>
      </c>
      <c r="S246" t="s">
        <v>2525</v>
      </c>
      <c r="U246" t="s">
        <v>2959</v>
      </c>
      <c r="V246" t="s">
        <v>28</v>
      </c>
      <c r="Y246" t="s">
        <v>30</v>
      </c>
      <c r="Z246" t="s">
        <v>30</v>
      </c>
      <c r="AA246" t="str">
        <f>IF(NOT("https://maps.app.goo.gl/owQLz47UghAyxTwP9" = ""), HYPERLINK("https://maps.app.goo.gl/owQLz47UghAyxTwP9", "موقع"), "")</f>
        <v>موقع</v>
      </c>
    </row>
    <row r="247" spans="1:27" x14ac:dyDescent="0.3">
      <c r="A247" t="s">
        <v>870</v>
      </c>
      <c r="B247" s="8">
        <v>46282.623217592591</v>
      </c>
      <c r="C247" t="s">
        <v>2</v>
      </c>
      <c r="D247" t="s">
        <v>59</v>
      </c>
      <c r="E247" t="s">
        <v>782</v>
      </c>
      <c r="F247" t="s">
        <v>2960</v>
      </c>
      <c r="G247" t="s">
        <v>21</v>
      </c>
      <c r="H247" t="s">
        <v>747</v>
      </c>
      <c r="I247" t="s">
        <v>748</v>
      </c>
      <c r="J247" t="s">
        <v>780</v>
      </c>
      <c r="K247" t="s">
        <v>781</v>
      </c>
      <c r="L247">
        <v>111</v>
      </c>
      <c r="M247">
        <v>2839</v>
      </c>
      <c r="O247">
        <v>32.042499999999997</v>
      </c>
      <c r="P247">
        <v>36.102471999999999</v>
      </c>
      <c r="Q247" t="s">
        <v>850</v>
      </c>
      <c r="S247" t="s">
        <v>2525</v>
      </c>
      <c r="U247" t="s">
        <v>2961</v>
      </c>
      <c r="V247" t="s">
        <v>43</v>
      </c>
      <c r="Y247" t="s">
        <v>30</v>
      </c>
      <c r="Z247" t="s">
        <v>30</v>
      </c>
      <c r="AA247" t="str">
        <f>IF(NOT("https://maps.app.goo.gl/EtWrAhRRgQJmyjMW9" = ""), HYPERLINK("https://maps.app.goo.gl/EtWrAhRRgQJmyjMW9", "موقع"), "")</f>
        <v>موقع</v>
      </c>
    </row>
    <row r="248" spans="1:27" x14ac:dyDescent="0.3">
      <c r="A248" t="s">
        <v>871</v>
      </c>
      <c r="B248" s="8">
        <v>46282.623217592591</v>
      </c>
      <c r="C248" t="s">
        <v>2</v>
      </c>
      <c r="D248" t="s">
        <v>59</v>
      </c>
      <c r="E248" t="s">
        <v>762</v>
      </c>
      <c r="F248" t="s">
        <v>2962</v>
      </c>
      <c r="G248" t="s">
        <v>21</v>
      </c>
      <c r="H248" t="s">
        <v>747</v>
      </c>
      <c r="I248" t="s">
        <v>748</v>
      </c>
      <c r="J248" t="s">
        <v>760</v>
      </c>
      <c r="K248" t="s">
        <v>765</v>
      </c>
      <c r="L248">
        <v>111</v>
      </c>
      <c r="M248">
        <v>1248</v>
      </c>
      <c r="Q248" t="s">
        <v>862</v>
      </c>
      <c r="S248" t="s">
        <v>2525</v>
      </c>
      <c r="V248" t="s">
        <v>43</v>
      </c>
      <c r="Y248" t="s">
        <v>30</v>
      </c>
      <c r="Z248" t="s">
        <v>30</v>
      </c>
      <c r="AA248" t="s">
        <v>30</v>
      </c>
    </row>
    <row r="249" spans="1:27" x14ac:dyDescent="0.3">
      <c r="A249" t="s">
        <v>872</v>
      </c>
      <c r="B249" s="8">
        <v>46282.623217592591</v>
      </c>
      <c r="C249" t="s">
        <v>2</v>
      </c>
      <c r="D249" t="s">
        <v>59</v>
      </c>
      <c r="E249" t="s">
        <v>873</v>
      </c>
      <c r="F249" t="s">
        <v>2963</v>
      </c>
      <c r="G249" t="s">
        <v>21</v>
      </c>
      <c r="H249" t="s">
        <v>747</v>
      </c>
      <c r="I249" t="s">
        <v>748</v>
      </c>
      <c r="J249" t="s">
        <v>754</v>
      </c>
      <c r="K249" t="s">
        <v>755</v>
      </c>
      <c r="L249">
        <v>121</v>
      </c>
      <c r="M249">
        <v>3422</v>
      </c>
      <c r="Q249" t="s">
        <v>845</v>
      </c>
      <c r="S249" t="s">
        <v>2525</v>
      </c>
      <c r="V249" t="s">
        <v>73</v>
      </c>
      <c r="Y249" t="s">
        <v>30</v>
      </c>
      <c r="Z249" t="s">
        <v>30</v>
      </c>
      <c r="AA249" t="s">
        <v>30</v>
      </c>
    </row>
    <row r="250" spans="1:27" x14ac:dyDescent="0.3">
      <c r="A250" t="s">
        <v>874</v>
      </c>
      <c r="B250" s="8">
        <v>46282.623217592591</v>
      </c>
      <c r="C250" t="s">
        <v>2</v>
      </c>
      <c r="D250" t="s">
        <v>297</v>
      </c>
      <c r="E250" t="s">
        <v>814</v>
      </c>
      <c r="F250" t="s">
        <v>2964</v>
      </c>
      <c r="G250" t="s">
        <v>296</v>
      </c>
      <c r="H250" t="s">
        <v>747</v>
      </c>
      <c r="I250" t="s">
        <v>748</v>
      </c>
      <c r="J250" t="s">
        <v>812</v>
      </c>
      <c r="K250" t="s">
        <v>822</v>
      </c>
      <c r="L250">
        <v>0</v>
      </c>
      <c r="M250">
        <v>3013</v>
      </c>
      <c r="N250">
        <v>361000</v>
      </c>
      <c r="O250">
        <v>32.088999999999999</v>
      </c>
      <c r="P250">
        <v>36.107666999999999</v>
      </c>
      <c r="Q250" t="s">
        <v>875</v>
      </c>
      <c r="S250" t="s">
        <v>2525</v>
      </c>
      <c r="U250" t="s">
        <v>2965</v>
      </c>
      <c r="W250" t="s">
        <v>876</v>
      </c>
      <c r="Y250" t="s">
        <v>30</v>
      </c>
      <c r="Z250" t="s">
        <v>30</v>
      </c>
      <c r="AA250" t="str">
        <f>IF(NOT("https://maps.app.goo.gl/Wtgit4Xh7fAnRAdk8" = ""), HYPERLINK("https://maps.app.goo.gl/Wtgit4Xh7fAnRAdk8", "موقع"), "")</f>
        <v>موقع</v>
      </c>
    </row>
    <row r="251" spans="1:27" x14ac:dyDescent="0.3">
      <c r="A251" t="s">
        <v>877</v>
      </c>
      <c r="B251" s="8">
        <v>46282.623217592591</v>
      </c>
      <c r="C251" t="s">
        <v>2</v>
      </c>
      <c r="D251" t="s">
        <v>315</v>
      </c>
      <c r="E251" t="s">
        <v>880</v>
      </c>
      <c r="F251" t="s">
        <v>2966</v>
      </c>
      <c r="G251" t="s">
        <v>296</v>
      </c>
      <c r="H251" t="s">
        <v>747</v>
      </c>
      <c r="I251" t="s">
        <v>748</v>
      </c>
      <c r="J251" t="s">
        <v>878</v>
      </c>
      <c r="K251" t="s">
        <v>879</v>
      </c>
      <c r="L251">
        <v>0</v>
      </c>
      <c r="M251">
        <v>845</v>
      </c>
      <c r="N251">
        <v>22000</v>
      </c>
      <c r="O251">
        <v>32.065556000000001</v>
      </c>
      <c r="P251">
        <v>36.079388999999999</v>
      </c>
      <c r="Q251" t="s">
        <v>881</v>
      </c>
      <c r="S251" t="s">
        <v>2525</v>
      </c>
      <c r="U251" t="s">
        <v>2967</v>
      </c>
      <c r="W251" t="s">
        <v>882</v>
      </c>
      <c r="Y251" t="s">
        <v>30</v>
      </c>
      <c r="Z251" t="s">
        <v>30</v>
      </c>
      <c r="AA251" t="str">
        <f>IF(NOT("https://maps.app.goo.gl/YfxZq53PZvNSXBbJ7" = ""), HYPERLINK("https://maps.app.goo.gl/YfxZq53PZvNSXBbJ7", "موقع"), "")</f>
        <v>موقع</v>
      </c>
    </row>
    <row r="252" spans="1:27" x14ac:dyDescent="0.3">
      <c r="A252" t="s">
        <v>883</v>
      </c>
      <c r="B252" s="8">
        <v>46282.623217592591</v>
      </c>
      <c r="C252" t="s">
        <v>2</v>
      </c>
      <c r="D252" t="s">
        <v>315</v>
      </c>
      <c r="E252" t="s">
        <v>762</v>
      </c>
      <c r="F252" t="s">
        <v>2968</v>
      </c>
      <c r="G252" t="s">
        <v>296</v>
      </c>
      <c r="H252" t="s">
        <v>747</v>
      </c>
      <c r="I252" t="s">
        <v>748</v>
      </c>
      <c r="J252" t="s">
        <v>760</v>
      </c>
      <c r="K252" t="s">
        <v>761</v>
      </c>
      <c r="L252">
        <v>0</v>
      </c>
      <c r="M252">
        <v>222</v>
      </c>
      <c r="N252">
        <v>26000</v>
      </c>
      <c r="Q252" t="s">
        <v>884</v>
      </c>
      <c r="S252" t="s">
        <v>2525</v>
      </c>
      <c r="W252" t="s">
        <v>885</v>
      </c>
      <c r="Y252" t="s">
        <v>30</v>
      </c>
      <c r="Z252" t="s">
        <v>30</v>
      </c>
      <c r="AA252" t="s">
        <v>30</v>
      </c>
    </row>
    <row r="253" spans="1:27" x14ac:dyDescent="0.3">
      <c r="A253" t="s">
        <v>886</v>
      </c>
      <c r="B253" s="8">
        <v>46282.623217592591</v>
      </c>
      <c r="C253" t="s">
        <v>2</v>
      </c>
      <c r="D253" t="s">
        <v>315</v>
      </c>
      <c r="E253" t="s">
        <v>751</v>
      </c>
      <c r="F253" t="s">
        <v>2969</v>
      </c>
      <c r="G253" t="s">
        <v>296</v>
      </c>
      <c r="H253" t="s">
        <v>747</v>
      </c>
      <c r="I253" t="s">
        <v>748</v>
      </c>
      <c r="J253" t="s">
        <v>749</v>
      </c>
      <c r="K253" t="s">
        <v>887</v>
      </c>
      <c r="L253">
        <v>0</v>
      </c>
      <c r="M253">
        <v>719</v>
      </c>
      <c r="N253">
        <v>35000</v>
      </c>
      <c r="O253">
        <v>31.884305999999999</v>
      </c>
      <c r="P253">
        <v>36.824416999999997</v>
      </c>
      <c r="Q253" t="s">
        <v>888</v>
      </c>
      <c r="S253" t="s">
        <v>2525</v>
      </c>
      <c r="U253" t="s">
        <v>2970</v>
      </c>
      <c r="W253" t="s">
        <v>889</v>
      </c>
      <c r="Y253" t="s">
        <v>30</v>
      </c>
      <c r="Z253" t="s">
        <v>30</v>
      </c>
      <c r="AA253" t="str">
        <f>IF(NOT("https://maps.app.goo.gl/rJPRDhdsZx115hDH8" = ""), HYPERLINK("https://maps.app.goo.gl/rJPRDhdsZx115hDH8", "موقع"), "")</f>
        <v>موقع</v>
      </c>
    </row>
    <row r="254" spans="1:27" x14ac:dyDescent="0.3">
      <c r="A254" t="s">
        <v>890</v>
      </c>
      <c r="B254" s="8">
        <v>46282.623217592591</v>
      </c>
      <c r="C254" t="s">
        <v>2</v>
      </c>
      <c r="D254" t="s">
        <v>315</v>
      </c>
      <c r="E254" t="s">
        <v>814</v>
      </c>
      <c r="F254" t="s">
        <v>2971</v>
      </c>
      <c r="G254" t="s">
        <v>296</v>
      </c>
      <c r="H254" t="s">
        <v>747</v>
      </c>
      <c r="I254" t="s">
        <v>748</v>
      </c>
      <c r="J254" t="s">
        <v>812</v>
      </c>
      <c r="K254" t="s">
        <v>822</v>
      </c>
      <c r="L254">
        <v>0</v>
      </c>
      <c r="M254">
        <v>2245</v>
      </c>
      <c r="N254">
        <v>41000</v>
      </c>
      <c r="Q254" t="s">
        <v>186</v>
      </c>
      <c r="S254" t="s">
        <v>2525</v>
      </c>
      <c r="W254" t="s">
        <v>891</v>
      </c>
      <c r="Y254" t="s">
        <v>30</v>
      </c>
      <c r="Z254" t="s">
        <v>30</v>
      </c>
      <c r="AA254" t="s">
        <v>30</v>
      </c>
    </row>
    <row r="255" spans="1:27" x14ac:dyDescent="0.3">
      <c r="A255" t="s">
        <v>892</v>
      </c>
      <c r="B255" s="8">
        <v>46282.623217592591</v>
      </c>
      <c r="C255" t="s">
        <v>2</v>
      </c>
      <c r="D255" t="s">
        <v>315</v>
      </c>
      <c r="E255" t="s">
        <v>762</v>
      </c>
      <c r="F255" t="s">
        <v>2972</v>
      </c>
      <c r="G255" t="s">
        <v>296</v>
      </c>
      <c r="H255" t="s">
        <v>747</v>
      </c>
      <c r="I255" t="s">
        <v>748</v>
      </c>
      <c r="J255" t="s">
        <v>760</v>
      </c>
      <c r="K255" t="s">
        <v>765</v>
      </c>
      <c r="L255">
        <v>0</v>
      </c>
      <c r="M255">
        <v>1229</v>
      </c>
      <c r="N255">
        <v>74000</v>
      </c>
      <c r="O255">
        <v>32.137472000000002</v>
      </c>
      <c r="P255">
        <v>36.136499999999998</v>
      </c>
      <c r="Q255" t="s">
        <v>893</v>
      </c>
      <c r="S255" t="s">
        <v>2525</v>
      </c>
      <c r="U255" t="s">
        <v>2973</v>
      </c>
      <c r="W255" t="s">
        <v>894</v>
      </c>
      <c r="Y255" t="s">
        <v>30</v>
      </c>
      <c r="Z255" t="s">
        <v>30</v>
      </c>
      <c r="AA255" t="str">
        <f>IF(NOT("https://maps.app.goo.gl/t36xDz5TTRn1P3xS6" = ""), HYPERLINK("https://maps.app.goo.gl/t36xDz5TTRn1P3xS6", "موقع"), "")</f>
        <v>موقع</v>
      </c>
    </row>
    <row r="256" spans="1:27" x14ac:dyDescent="0.3">
      <c r="A256" t="s">
        <v>895</v>
      </c>
      <c r="B256" s="8">
        <v>46282.623217592591</v>
      </c>
      <c r="C256" t="s">
        <v>2</v>
      </c>
      <c r="D256" t="s">
        <v>315</v>
      </c>
      <c r="E256" t="s">
        <v>898</v>
      </c>
      <c r="F256" t="s">
        <v>2974</v>
      </c>
      <c r="G256" t="s">
        <v>296</v>
      </c>
      <c r="H256" t="s">
        <v>747</v>
      </c>
      <c r="I256" t="s">
        <v>748</v>
      </c>
      <c r="J256" t="s">
        <v>896</v>
      </c>
      <c r="K256" t="s">
        <v>897</v>
      </c>
      <c r="L256">
        <v>0</v>
      </c>
      <c r="M256">
        <v>710</v>
      </c>
      <c r="N256">
        <v>78000</v>
      </c>
      <c r="Q256" t="s">
        <v>899</v>
      </c>
      <c r="S256" t="s">
        <v>2525</v>
      </c>
      <c r="W256" t="s">
        <v>900</v>
      </c>
      <c r="Y256" t="s">
        <v>30</v>
      </c>
      <c r="Z256" t="s">
        <v>30</v>
      </c>
      <c r="AA256" t="s">
        <v>30</v>
      </c>
    </row>
    <row r="257" spans="1:27" x14ac:dyDescent="0.3">
      <c r="A257" t="s">
        <v>901</v>
      </c>
      <c r="B257" s="8">
        <v>46282.623217592591</v>
      </c>
      <c r="C257" t="s">
        <v>2</v>
      </c>
      <c r="D257" t="s">
        <v>315</v>
      </c>
      <c r="E257" t="s">
        <v>829</v>
      </c>
      <c r="F257" t="s">
        <v>2975</v>
      </c>
      <c r="G257" t="s">
        <v>296</v>
      </c>
      <c r="H257" t="s">
        <v>747</v>
      </c>
      <c r="I257" t="s">
        <v>748</v>
      </c>
      <c r="J257" t="s">
        <v>812</v>
      </c>
      <c r="K257" t="s">
        <v>813</v>
      </c>
      <c r="L257">
        <v>0</v>
      </c>
      <c r="M257">
        <v>7023</v>
      </c>
      <c r="N257">
        <v>98000</v>
      </c>
      <c r="O257">
        <v>32.114944000000001</v>
      </c>
      <c r="P257">
        <v>36.064889000000001</v>
      </c>
      <c r="Q257" t="s">
        <v>902</v>
      </c>
      <c r="S257" t="s">
        <v>2525</v>
      </c>
      <c r="U257" t="s">
        <v>2976</v>
      </c>
      <c r="W257" t="s">
        <v>903</v>
      </c>
      <c r="Y257" t="s">
        <v>30</v>
      </c>
      <c r="Z257" t="s">
        <v>30</v>
      </c>
      <c r="AA257" t="str">
        <f>IF(NOT("https://maps.app.goo.gl/KGeMnMeLud49eHXGA" = ""), HYPERLINK("https://maps.app.goo.gl/KGeMnMeLud49eHXGA", "موقع"), "")</f>
        <v>موقع</v>
      </c>
    </row>
    <row r="258" spans="1:27" x14ac:dyDescent="0.3">
      <c r="A258" t="s">
        <v>904</v>
      </c>
      <c r="B258" s="8">
        <v>46282.623217592591</v>
      </c>
      <c r="C258" t="s">
        <v>2</v>
      </c>
      <c r="D258" t="s">
        <v>315</v>
      </c>
      <c r="E258" t="s">
        <v>814</v>
      </c>
      <c r="F258" t="s">
        <v>2977</v>
      </c>
      <c r="G258" t="s">
        <v>296</v>
      </c>
      <c r="H258" t="s">
        <v>747</v>
      </c>
      <c r="I258" t="s">
        <v>748</v>
      </c>
      <c r="J258" t="s">
        <v>812</v>
      </c>
      <c r="K258" t="s">
        <v>813</v>
      </c>
      <c r="L258">
        <v>0</v>
      </c>
      <c r="M258">
        <v>2705</v>
      </c>
      <c r="N258">
        <v>139000</v>
      </c>
      <c r="O258">
        <v>32.104472000000001</v>
      </c>
      <c r="P258">
        <v>36.103306000000003</v>
      </c>
      <c r="Q258" t="s">
        <v>905</v>
      </c>
      <c r="S258" t="s">
        <v>2525</v>
      </c>
      <c r="U258" t="s">
        <v>2978</v>
      </c>
      <c r="W258" t="s">
        <v>906</v>
      </c>
      <c r="Y258" t="s">
        <v>30</v>
      </c>
      <c r="Z258" t="s">
        <v>30</v>
      </c>
      <c r="AA258" t="str">
        <f>IF(NOT("https://maps.app.goo.gl/49HWKrFtLFJ9RRUW8" = ""), HYPERLINK("https://maps.app.goo.gl/49HWKrFtLFJ9RRUW8", "موقع"), "")</f>
        <v>موقع</v>
      </c>
    </row>
    <row r="259" spans="1:27" x14ac:dyDescent="0.3">
      <c r="A259" t="s">
        <v>907</v>
      </c>
      <c r="B259" s="8">
        <v>46282.623217592591</v>
      </c>
      <c r="C259" t="s">
        <v>2</v>
      </c>
      <c r="D259" t="s">
        <v>315</v>
      </c>
      <c r="E259" t="s">
        <v>814</v>
      </c>
      <c r="F259" t="s">
        <v>2979</v>
      </c>
      <c r="G259" t="s">
        <v>296</v>
      </c>
      <c r="H259" t="s">
        <v>747</v>
      </c>
      <c r="I259" t="s">
        <v>748</v>
      </c>
      <c r="J259" t="s">
        <v>812</v>
      </c>
      <c r="K259" t="s">
        <v>813</v>
      </c>
      <c r="L259">
        <v>0</v>
      </c>
      <c r="M259">
        <v>4522</v>
      </c>
      <c r="N259">
        <v>156000</v>
      </c>
      <c r="Q259" t="s">
        <v>908</v>
      </c>
      <c r="R259" t="s">
        <v>2980</v>
      </c>
      <c r="S259" t="s">
        <v>2579</v>
      </c>
      <c r="W259" t="s">
        <v>909</v>
      </c>
      <c r="Y259" t="s">
        <v>30</v>
      </c>
      <c r="Z259" t="str">
        <f>IF(NOT("https://truemarkets3d.net/3d-virtual-tour/housingbank-realestate/phase3/aq-bld-100279/index.html" = ""), HYPERLINK("https://truemarkets3d.net/3d-virtual-tour/housingbank-realestate/phase3/aq-bld-100279/index.html", "جولة"), "")</f>
        <v>جولة</v>
      </c>
      <c r="AA259" t="s">
        <v>30</v>
      </c>
    </row>
    <row r="260" spans="1:27" x14ac:dyDescent="0.3">
      <c r="A260" t="s">
        <v>910</v>
      </c>
      <c r="B260" s="8">
        <v>46282.623217592591</v>
      </c>
      <c r="C260" t="s">
        <v>2</v>
      </c>
      <c r="D260" t="s">
        <v>315</v>
      </c>
      <c r="E260" t="s">
        <v>912</v>
      </c>
      <c r="F260" t="s">
        <v>2981</v>
      </c>
      <c r="G260" t="s">
        <v>296</v>
      </c>
      <c r="H260" t="s">
        <v>747</v>
      </c>
      <c r="I260" t="s">
        <v>748</v>
      </c>
      <c r="J260" t="s">
        <v>774</v>
      </c>
      <c r="K260" t="s">
        <v>911</v>
      </c>
      <c r="L260">
        <v>0</v>
      </c>
      <c r="M260">
        <v>1204</v>
      </c>
      <c r="N260">
        <v>156000</v>
      </c>
      <c r="O260">
        <v>32.044638999999997</v>
      </c>
      <c r="P260">
        <v>36.077638999999998</v>
      </c>
      <c r="Q260" t="s">
        <v>913</v>
      </c>
      <c r="S260" t="s">
        <v>2525</v>
      </c>
      <c r="U260" t="s">
        <v>2982</v>
      </c>
      <c r="W260" t="s">
        <v>914</v>
      </c>
      <c r="Y260" t="s">
        <v>30</v>
      </c>
      <c r="Z260" t="s">
        <v>30</v>
      </c>
      <c r="AA260" t="str">
        <f>IF(NOT("https://maps.app.goo.gl/RjnTzXu71B6DuHhb6" = ""), HYPERLINK("https://maps.app.goo.gl/RjnTzXu71B6DuHhb6", "موقع"), "")</f>
        <v>موقع</v>
      </c>
    </row>
    <row r="261" spans="1:27" x14ac:dyDescent="0.3">
      <c r="A261" t="s">
        <v>915</v>
      </c>
      <c r="B261" s="8">
        <v>46282.623217592591</v>
      </c>
      <c r="C261" t="s">
        <v>2</v>
      </c>
      <c r="D261" t="s">
        <v>315</v>
      </c>
      <c r="E261" t="s">
        <v>814</v>
      </c>
      <c r="F261" t="s">
        <v>2983</v>
      </c>
      <c r="G261" t="s">
        <v>296</v>
      </c>
      <c r="H261" t="s">
        <v>747</v>
      </c>
      <c r="I261" t="s">
        <v>748</v>
      </c>
      <c r="J261" t="s">
        <v>812</v>
      </c>
      <c r="K261" t="s">
        <v>813</v>
      </c>
      <c r="L261">
        <v>0</v>
      </c>
      <c r="M261">
        <v>8458</v>
      </c>
      <c r="N261">
        <v>173000</v>
      </c>
      <c r="O261">
        <v>32.099221999999997</v>
      </c>
      <c r="P261">
        <v>36.098222</v>
      </c>
      <c r="Q261" t="s">
        <v>916</v>
      </c>
      <c r="S261" t="s">
        <v>2525</v>
      </c>
      <c r="U261" t="s">
        <v>2984</v>
      </c>
      <c r="W261" t="s">
        <v>917</v>
      </c>
      <c r="Y261" t="s">
        <v>30</v>
      </c>
      <c r="Z261" t="s">
        <v>30</v>
      </c>
      <c r="AA261" t="str">
        <f>IF(NOT("https://maps.app.goo.gl/eHMbk218CNd2PGtDA" = ""), HYPERLINK("https://maps.app.goo.gl/eHMbk218CNd2PGtDA", "موقع"), "")</f>
        <v>موقع</v>
      </c>
    </row>
    <row r="262" spans="1:27" x14ac:dyDescent="0.3">
      <c r="A262" t="s">
        <v>918</v>
      </c>
      <c r="B262" s="8">
        <v>46282.623217592591</v>
      </c>
      <c r="C262" t="s">
        <v>2</v>
      </c>
      <c r="D262" t="s">
        <v>315</v>
      </c>
      <c r="E262" t="s">
        <v>814</v>
      </c>
      <c r="F262" t="s">
        <v>2985</v>
      </c>
      <c r="G262" t="s">
        <v>296</v>
      </c>
      <c r="H262" t="s">
        <v>747</v>
      </c>
      <c r="I262" t="s">
        <v>748</v>
      </c>
      <c r="J262" t="s">
        <v>812</v>
      </c>
      <c r="K262" t="s">
        <v>822</v>
      </c>
      <c r="L262">
        <v>0</v>
      </c>
      <c r="M262">
        <v>4882</v>
      </c>
      <c r="N262">
        <v>186000</v>
      </c>
      <c r="Q262" t="s">
        <v>919</v>
      </c>
      <c r="S262" t="s">
        <v>2525</v>
      </c>
      <c r="W262" t="s">
        <v>920</v>
      </c>
      <c r="Y262" t="s">
        <v>30</v>
      </c>
      <c r="Z262" t="s">
        <v>30</v>
      </c>
      <c r="AA262" t="s">
        <v>30</v>
      </c>
    </row>
    <row r="263" spans="1:27" x14ac:dyDescent="0.3">
      <c r="A263" t="s">
        <v>921</v>
      </c>
      <c r="B263" s="8">
        <v>46282.623217592591</v>
      </c>
      <c r="C263" t="s">
        <v>2</v>
      </c>
      <c r="D263" t="s">
        <v>315</v>
      </c>
      <c r="E263" t="s">
        <v>924</v>
      </c>
      <c r="F263" t="s">
        <v>2986</v>
      </c>
      <c r="G263" t="s">
        <v>296</v>
      </c>
      <c r="H263" t="s">
        <v>747</v>
      </c>
      <c r="I263" t="s">
        <v>748</v>
      </c>
      <c r="J263" t="s">
        <v>922</v>
      </c>
      <c r="K263" t="s">
        <v>923</v>
      </c>
      <c r="L263">
        <v>0</v>
      </c>
      <c r="M263">
        <v>674</v>
      </c>
      <c r="N263">
        <v>196000</v>
      </c>
      <c r="O263">
        <v>32.036917000000003</v>
      </c>
      <c r="P263">
        <v>36.012917000000002</v>
      </c>
      <c r="Q263" t="s">
        <v>925</v>
      </c>
      <c r="S263" t="s">
        <v>2525</v>
      </c>
      <c r="U263" t="s">
        <v>2987</v>
      </c>
      <c r="W263" t="s">
        <v>926</v>
      </c>
      <c r="Y263" t="s">
        <v>30</v>
      </c>
      <c r="Z263" t="s">
        <v>30</v>
      </c>
      <c r="AA263" t="str">
        <f>IF(NOT("https://maps.app.goo.gl/3reEhsj6DkHv5LKX6" = ""), HYPERLINK("https://maps.app.goo.gl/3reEhsj6DkHv5LKX6", "موقع"), "")</f>
        <v>موقع</v>
      </c>
    </row>
    <row r="264" spans="1:27" x14ac:dyDescent="0.3">
      <c r="A264" t="s">
        <v>927</v>
      </c>
      <c r="B264" s="8">
        <v>46282.623217592591</v>
      </c>
      <c r="C264" t="s">
        <v>2</v>
      </c>
      <c r="D264" t="s">
        <v>315</v>
      </c>
      <c r="E264" t="s">
        <v>814</v>
      </c>
      <c r="F264" t="s">
        <v>2988</v>
      </c>
      <c r="G264" t="s">
        <v>296</v>
      </c>
      <c r="H264" t="s">
        <v>747</v>
      </c>
      <c r="I264" t="s">
        <v>748</v>
      </c>
      <c r="J264" t="s">
        <v>812</v>
      </c>
      <c r="K264" t="s">
        <v>813</v>
      </c>
      <c r="L264">
        <v>0</v>
      </c>
      <c r="M264">
        <v>8503</v>
      </c>
      <c r="N264">
        <v>225000</v>
      </c>
      <c r="O264">
        <v>32.106222000000002</v>
      </c>
      <c r="P264">
        <v>36.099806000000001</v>
      </c>
      <c r="Q264" t="s">
        <v>928</v>
      </c>
      <c r="R264" t="s">
        <v>2989</v>
      </c>
      <c r="S264" t="s">
        <v>2579</v>
      </c>
      <c r="U264" t="s">
        <v>2990</v>
      </c>
      <c r="W264" t="s">
        <v>929</v>
      </c>
      <c r="Y264" t="s">
        <v>30</v>
      </c>
      <c r="Z264" t="str">
        <f>IF(NOT("https://truemarkets3d.net/3d-virtual-tour/housingbank-realestate/phase3/aq-bld-100236/index.html" = ""), HYPERLINK("https://truemarkets3d.net/3d-virtual-tour/housingbank-realestate/phase3/aq-bld-100236/index.html", "جولة"), "")</f>
        <v>جولة</v>
      </c>
      <c r="AA264" t="str">
        <f>IF(NOT("https://maps.app.goo.gl/fmmGqj45Lk5UCFKY8" = ""), HYPERLINK("https://maps.app.goo.gl/fmmGqj45Lk5UCFKY8", "موقع"), "")</f>
        <v>موقع</v>
      </c>
    </row>
    <row r="265" spans="1:27" x14ac:dyDescent="0.3">
      <c r="A265" t="s">
        <v>930</v>
      </c>
      <c r="B265" s="8">
        <v>46282.623217592591</v>
      </c>
      <c r="C265" t="s">
        <v>2</v>
      </c>
      <c r="D265" t="s">
        <v>315</v>
      </c>
      <c r="E265" t="s">
        <v>933</v>
      </c>
      <c r="F265" t="s">
        <v>2991</v>
      </c>
      <c r="G265" t="s">
        <v>296</v>
      </c>
      <c r="H265" t="s">
        <v>747</v>
      </c>
      <c r="I265" t="s">
        <v>748</v>
      </c>
      <c r="J265" t="s">
        <v>931</v>
      </c>
      <c r="K265" t="s">
        <v>932</v>
      </c>
      <c r="L265">
        <v>0</v>
      </c>
      <c r="M265">
        <v>340</v>
      </c>
      <c r="N265">
        <v>313000</v>
      </c>
      <c r="O265">
        <v>32.103499999999997</v>
      </c>
      <c r="P265">
        <v>35.956221999999997</v>
      </c>
      <c r="Q265" t="s">
        <v>934</v>
      </c>
      <c r="S265" t="s">
        <v>2525</v>
      </c>
      <c r="U265" t="s">
        <v>2992</v>
      </c>
      <c r="W265" t="s">
        <v>935</v>
      </c>
      <c r="Y265" t="s">
        <v>30</v>
      </c>
      <c r="Z265" t="s">
        <v>30</v>
      </c>
      <c r="AA265" t="str">
        <f>IF(NOT("https://maps.app.goo.gl/bozGkDugUrQAFjoUA" = ""), HYPERLINK("https://maps.app.goo.gl/bozGkDugUrQAFjoUA", "موقع"), "")</f>
        <v>موقع</v>
      </c>
    </row>
    <row r="266" spans="1:27" x14ac:dyDescent="0.3">
      <c r="A266" t="s">
        <v>936</v>
      </c>
      <c r="B266" s="8">
        <v>46282.623217592591</v>
      </c>
      <c r="C266" t="s">
        <v>2</v>
      </c>
      <c r="D266" t="s">
        <v>315</v>
      </c>
      <c r="E266" t="s">
        <v>756</v>
      </c>
      <c r="F266" t="s">
        <v>2993</v>
      </c>
      <c r="G266" t="s">
        <v>296</v>
      </c>
      <c r="H266" t="s">
        <v>747</v>
      </c>
      <c r="I266" t="s">
        <v>748</v>
      </c>
      <c r="J266" t="s">
        <v>754</v>
      </c>
      <c r="K266" t="s">
        <v>937</v>
      </c>
      <c r="L266">
        <v>0</v>
      </c>
      <c r="M266">
        <v>774</v>
      </c>
      <c r="N266">
        <v>319000</v>
      </c>
      <c r="O266">
        <v>32.005777999999999</v>
      </c>
      <c r="P266">
        <v>36.029277999999998</v>
      </c>
      <c r="Q266" t="s">
        <v>938</v>
      </c>
      <c r="S266" t="s">
        <v>2525</v>
      </c>
      <c r="U266" t="s">
        <v>2994</v>
      </c>
      <c r="W266" t="s">
        <v>939</v>
      </c>
      <c r="Y266" t="s">
        <v>30</v>
      </c>
      <c r="Z266" t="s">
        <v>30</v>
      </c>
      <c r="AA266" t="str">
        <f>IF(NOT("https://maps.app.goo.gl/82dRELJSixjWugLp7" = ""), HYPERLINK("https://maps.app.goo.gl/82dRELJSixjWugLp7", "موقع"), "")</f>
        <v>موقع</v>
      </c>
    </row>
    <row r="267" spans="1:27" x14ac:dyDescent="0.3">
      <c r="A267" t="s">
        <v>940</v>
      </c>
      <c r="B267" s="8">
        <v>46282.623217592591</v>
      </c>
      <c r="C267" t="s">
        <v>2</v>
      </c>
      <c r="D267" t="s">
        <v>315</v>
      </c>
      <c r="E267" t="s">
        <v>814</v>
      </c>
      <c r="F267" t="s">
        <v>2995</v>
      </c>
      <c r="G267" t="s">
        <v>296</v>
      </c>
      <c r="H267" t="s">
        <v>747</v>
      </c>
      <c r="I267" t="s">
        <v>748</v>
      </c>
      <c r="J267" t="s">
        <v>812</v>
      </c>
      <c r="K267" t="s">
        <v>941</v>
      </c>
      <c r="M267">
        <v>437</v>
      </c>
      <c r="N267">
        <v>837000</v>
      </c>
      <c r="O267">
        <v>32.089388999999997</v>
      </c>
      <c r="P267">
        <v>36.073250000000002</v>
      </c>
      <c r="Q267" t="s">
        <v>942</v>
      </c>
      <c r="S267" t="s">
        <v>2525</v>
      </c>
      <c r="U267" t="s">
        <v>2996</v>
      </c>
      <c r="W267" t="s">
        <v>943</v>
      </c>
      <c r="Y267" t="s">
        <v>30</v>
      </c>
      <c r="Z267" t="s">
        <v>30</v>
      </c>
      <c r="AA267" t="str">
        <f>IF(NOT("https://maps.app.goo.gl/iF6aizvHoC8wGA8M6" = ""), HYPERLINK("https://maps.app.goo.gl/iF6aizvHoC8wGA8M6", "موقع"), "")</f>
        <v>موقع</v>
      </c>
    </row>
    <row r="268" spans="1:27" x14ac:dyDescent="0.3">
      <c r="A268" t="s">
        <v>944</v>
      </c>
      <c r="B268" s="8">
        <v>46282.623217592591</v>
      </c>
      <c r="C268" t="s">
        <v>2</v>
      </c>
      <c r="D268" t="s">
        <v>315</v>
      </c>
      <c r="E268" t="s">
        <v>945</v>
      </c>
      <c r="F268" t="s">
        <v>2997</v>
      </c>
      <c r="G268" t="s">
        <v>296</v>
      </c>
      <c r="H268" t="s">
        <v>747</v>
      </c>
      <c r="I268" t="s">
        <v>748</v>
      </c>
      <c r="J268" t="s">
        <v>896</v>
      </c>
      <c r="K268" t="s">
        <v>897</v>
      </c>
      <c r="L268">
        <v>0</v>
      </c>
      <c r="M268">
        <v>738</v>
      </c>
      <c r="O268">
        <v>32.119028</v>
      </c>
      <c r="P268">
        <v>36.284889</v>
      </c>
      <c r="Q268" t="s">
        <v>946</v>
      </c>
      <c r="S268" t="s">
        <v>2525</v>
      </c>
      <c r="U268" t="s">
        <v>2998</v>
      </c>
      <c r="Y268" t="s">
        <v>30</v>
      </c>
      <c r="Z268" t="s">
        <v>30</v>
      </c>
      <c r="AA268" t="str">
        <f>IF(NOT("https://maps.app.goo.gl/7QcUK4DzQanPbPWt7" = ""), HYPERLINK("https://maps.app.goo.gl/7QcUK4DzQanPbPWt7", "موقع"), "")</f>
        <v>موقع</v>
      </c>
    </row>
    <row r="269" spans="1:27" x14ac:dyDescent="0.3">
      <c r="A269" t="s">
        <v>947</v>
      </c>
      <c r="B269" s="8">
        <v>46282.623217592591</v>
      </c>
      <c r="C269" t="s">
        <v>2</v>
      </c>
      <c r="D269" t="s">
        <v>315</v>
      </c>
      <c r="E269" t="s">
        <v>756</v>
      </c>
      <c r="F269" t="s">
        <v>2999</v>
      </c>
      <c r="G269" t="s">
        <v>296</v>
      </c>
      <c r="H269" t="s">
        <v>747</v>
      </c>
      <c r="I269" t="s">
        <v>748</v>
      </c>
      <c r="J269" t="s">
        <v>754</v>
      </c>
      <c r="K269" t="s">
        <v>948</v>
      </c>
      <c r="L269">
        <v>0</v>
      </c>
      <c r="M269">
        <v>729</v>
      </c>
      <c r="O269">
        <v>32.029443999999998</v>
      </c>
      <c r="P269">
        <v>36.079943999999998</v>
      </c>
      <c r="Q269" t="s">
        <v>949</v>
      </c>
      <c r="S269" t="s">
        <v>2525</v>
      </c>
      <c r="U269" t="s">
        <v>3000</v>
      </c>
      <c r="Y269" t="s">
        <v>30</v>
      </c>
      <c r="Z269" t="s">
        <v>30</v>
      </c>
      <c r="AA269" t="str">
        <f>IF(NOT("https://maps.app.goo.gl/QuYB9zZMbZsDycqt8" = ""), HYPERLINK("https://maps.app.goo.gl/QuYB9zZMbZsDycqt8", "موقع"), "")</f>
        <v>موقع</v>
      </c>
    </row>
    <row r="270" spans="1:27" x14ac:dyDescent="0.3">
      <c r="A270" t="s">
        <v>950</v>
      </c>
      <c r="B270" s="8">
        <v>46282.623217592591</v>
      </c>
      <c r="C270" t="s">
        <v>2</v>
      </c>
      <c r="D270" t="s">
        <v>315</v>
      </c>
      <c r="E270" t="s">
        <v>898</v>
      </c>
      <c r="F270" t="s">
        <v>3001</v>
      </c>
      <c r="G270" t="s">
        <v>296</v>
      </c>
      <c r="H270" t="s">
        <v>747</v>
      </c>
      <c r="I270" t="s">
        <v>748</v>
      </c>
      <c r="J270" t="s">
        <v>951</v>
      </c>
      <c r="K270" t="s">
        <v>952</v>
      </c>
      <c r="L270">
        <v>0</v>
      </c>
      <c r="M270">
        <v>34</v>
      </c>
      <c r="O270">
        <v>32.056916999999999</v>
      </c>
      <c r="P270">
        <v>36.417471999999997</v>
      </c>
      <c r="Q270" t="s">
        <v>953</v>
      </c>
      <c r="S270" t="s">
        <v>2525</v>
      </c>
      <c r="U270" t="s">
        <v>3002</v>
      </c>
      <c r="Y270" t="s">
        <v>30</v>
      </c>
      <c r="Z270" t="s">
        <v>30</v>
      </c>
      <c r="AA270" t="str">
        <f>IF(NOT("https://maps.app.goo.gl/VejcLFyRZYZ8fU9VA" = ""), HYPERLINK("https://maps.app.goo.gl/VejcLFyRZYZ8fU9VA", "موقع"), "")</f>
        <v>موقع</v>
      </c>
    </row>
    <row r="271" spans="1:27" x14ac:dyDescent="0.3">
      <c r="A271" t="s">
        <v>954</v>
      </c>
      <c r="B271" s="8">
        <v>46282.623217592591</v>
      </c>
      <c r="C271" t="s">
        <v>2</v>
      </c>
      <c r="D271" t="s">
        <v>451</v>
      </c>
      <c r="E271" t="s">
        <v>957</v>
      </c>
      <c r="F271" t="s">
        <v>3003</v>
      </c>
      <c r="G271" t="s">
        <v>296</v>
      </c>
      <c r="H271" t="s">
        <v>747</v>
      </c>
      <c r="I271" t="s">
        <v>748</v>
      </c>
      <c r="J271" t="s">
        <v>955</v>
      </c>
      <c r="K271" t="s">
        <v>956</v>
      </c>
      <c r="L271">
        <v>0</v>
      </c>
      <c r="M271">
        <v>314</v>
      </c>
      <c r="N271">
        <v>74000</v>
      </c>
      <c r="O271">
        <v>32.136749999999999</v>
      </c>
      <c r="P271">
        <v>36.260972000000002</v>
      </c>
      <c r="Q271" t="s">
        <v>958</v>
      </c>
      <c r="S271" t="s">
        <v>2525</v>
      </c>
      <c r="U271" t="s">
        <v>3004</v>
      </c>
      <c r="W271" t="s">
        <v>959</v>
      </c>
      <c r="Y271" t="s">
        <v>30</v>
      </c>
      <c r="Z271" t="s">
        <v>30</v>
      </c>
      <c r="AA271" t="str">
        <f>IF(NOT("https://maps.app.goo.gl/mkMofyR5tFYsJniV8" = ""), HYPERLINK("https://maps.app.goo.gl/mkMofyR5tFYsJniV8", "موقع"), "")</f>
        <v>موقع</v>
      </c>
    </row>
    <row r="272" spans="1:27" x14ac:dyDescent="0.3">
      <c r="A272" t="s">
        <v>960</v>
      </c>
      <c r="B272" s="8">
        <v>46282.623217592591</v>
      </c>
      <c r="C272" t="s">
        <v>2</v>
      </c>
      <c r="D272" t="s">
        <v>451</v>
      </c>
      <c r="E272" t="s">
        <v>751</v>
      </c>
      <c r="F272" t="s">
        <v>3005</v>
      </c>
      <c r="G272" t="s">
        <v>296</v>
      </c>
      <c r="H272" t="s">
        <v>747</v>
      </c>
      <c r="I272" t="s">
        <v>748</v>
      </c>
      <c r="J272" t="s">
        <v>961</v>
      </c>
      <c r="K272" t="s">
        <v>962</v>
      </c>
      <c r="L272">
        <v>0</v>
      </c>
      <c r="M272">
        <v>777</v>
      </c>
      <c r="N272">
        <v>100000</v>
      </c>
      <c r="O272">
        <v>31.847221999999999</v>
      </c>
      <c r="P272">
        <v>36.819806</v>
      </c>
      <c r="Q272" t="s">
        <v>963</v>
      </c>
      <c r="S272" t="s">
        <v>2525</v>
      </c>
      <c r="U272" t="s">
        <v>3006</v>
      </c>
      <c r="W272" t="s">
        <v>964</v>
      </c>
      <c r="Y272" t="s">
        <v>30</v>
      </c>
      <c r="Z272" t="s">
        <v>30</v>
      </c>
      <c r="AA272" t="str">
        <f>IF(NOT("https://maps.app.goo.gl/KFFTPLZmx9WgcFJ3A" = ""), HYPERLINK("https://maps.app.goo.gl/KFFTPLZmx9WgcFJ3A", "موقع"), "")</f>
        <v>موقع</v>
      </c>
    </row>
    <row r="273" spans="1:27" x14ac:dyDescent="0.3">
      <c r="A273" t="s">
        <v>965</v>
      </c>
      <c r="B273" s="8">
        <v>46282.623217592591</v>
      </c>
      <c r="C273" t="s">
        <v>2</v>
      </c>
      <c r="D273" t="s">
        <v>451</v>
      </c>
      <c r="E273" t="s">
        <v>814</v>
      </c>
      <c r="F273" t="s">
        <v>3007</v>
      </c>
      <c r="G273" t="s">
        <v>296</v>
      </c>
      <c r="H273" t="s">
        <v>747</v>
      </c>
      <c r="I273" t="s">
        <v>748</v>
      </c>
      <c r="J273" t="s">
        <v>812</v>
      </c>
      <c r="K273" t="s">
        <v>813</v>
      </c>
      <c r="M273">
        <v>4069</v>
      </c>
      <c r="N273">
        <v>214000</v>
      </c>
      <c r="Q273" t="s">
        <v>966</v>
      </c>
      <c r="S273" t="s">
        <v>2525</v>
      </c>
      <c r="W273" t="s">
        <v>967</v>
      </c>
      <c r="Y273" t="s">
        <v>30</v>
      </c>
      <c r="Z273" t="s">
        <v>30</v>
      </c>
      <c r="AA273" t="s">
        <v>30</v>
      </c>
    </row>
    <row r="274" spans="1:27" x14ac:dyDescent="0.3">
      <c r="A274" t="s">
        <v>968</v>
      </c>
      <c r="B274" s="8">
        <v>46282.623217592591</v>
      </c>
      <c r="C274" t="s">
        <v>2</v>
      </c>
      <c r="D274" t="s">
        <v>451</v>
      </c>
      <c r="E274" t="s">
        <v>814</v>
      </c>
      <c r="F274" t="s">
        <v>3008</v>
      </c>
      <c r="G274" t="s">
        <v>296</v>
      </c>
      <c r="H274" t="s">
        <v>747</v>
      </c>
      <c r="I274" t="s">
        <v>748</v>
      </c>
      <c r="J274" t="s">
        <v>812</v>
      </c>
      <c r="K274" t="s">
        <v>813</v>
      </c>
      <c r="M274">
        <v>4070</v>
      </c>
      <c r="N274">
        <v>465000</v>
      </c>
      <c r="Q274" t="s">
        <v>969</v>
      </c>
      <c r="S274" t="s">
        <v>2525</v>
      </c>
      <c r="W274" t="s">
        <v>970</v>
      </c>
      <c r="Y274" t="s">
        <v>30</v>
      </c>
      <c r="Z274" t="s">
        <v>30</v>
      </c>
      <c r="AA274" t="s">
        <v>30</v>
      </c>
    </row>
    <row r="275" spans="1:27" x14ac:dyDescent="0.3">
      <c r="A275" t="s">
        <v>971</v>
      </c>
      <c r="B275" s="8">
        <v>46282.623217592591</v>
      </c>
      <c r="C275" t="s">
        <v>2</v>
      </c>
      <c r="D275" t="s">
        <v>463</v>
      </c>
      <c r="E275" t="s">
        <v>974</v>
      </c>
      <c r="F275" t="s">
        <v>3009</v>
      </c>
      <c r="G275" t="s">
        <v>296</v>
      </c>
      <c r="H275" t="s">
        <v>747</v>
      </c>
      <c r="I275" t="s">
        <v>748</v>
      </c>
      <c r="J275" t="s">
        <v>972</v>
      </c>
      <c r="K275" t="s">
        <v>973</v>
      </c>
      <c r="M275">
        <v>300</v>
      </c>
      <c r="N275">
        <v>483000</v>
      </c>
      <c r="Q275" t="s">
        <v>975</v>
      </c>
      <c r="S275" t="s">
        <v>2525</v>
      </c>
      <c r="W275" t="s">
        <v>976</v>
      </c>
      <c r="Y275" t="s">
        <v>30</v>
      </c>
      <c r="Z275" t="s">
        <v>30</v>
      </c>
      <c r="AA275" t="s">
        <v>30</v>
      </c>
    </row>
    <row r="276" spans="1:27" x14ac:dyDescent="0.3">
      <c r="A276" t="s">
        <v>977</v>
      </c>
      <c r="B276" s="8">
        <v>46282.623217592591</v>
      </c>
      <c r="C276" t="s">
        <v>2</v>
      </c>
      <c r="D276" t="s">
        <v>469</v>
      </c>
      <c r="E276" t="s">
        <v>751</v>
      </c>
      <c r="F276" t="s">
        <v>3010</v>
      </c>
      <c r="G276" t="s">
        <v>468</v>
      </c>
      <c r="H276" t="s">
        <v>747</v>
      </c>
      <c r="I276" t="s">
        <v>748</v>
      </c>
      <c r="J276" t="s">
        <v>951</v>
      </c>
      <c r="K276" t="s">
        <v>978</v>
      </c>
      <c r="L276">
        <v>0</v>
      </c>
      <c r="M276">
        <v>403</v>
      </c>
      <c r="N276">
        <v>6000</v>
      </c>
      <c r="O276">
        <v>32.107750000000003</v>
      </c>
      <c r="P276">
        <v>36.469611</v>
      </c>
      <c r="Q276" t="s">
        <v>979</v>
      </c>
      <c r="S276" t="s">
        <v>2525</v>
      </c>
      <c r="T276" t="s">
        <v>3011</v>
      </c>
      <c r="U276" t="s">
        <v>3012</v>
      </c>
      <c r="W276" t="s">
        <v>980</v>
      </c>
      <c r="Y276" t="s">
        <v>30</v>
      </c>
      <c r="Z276" t="s">
        <v>30</v>
      </c>
      <c r="AA276" t="str">
        <f>IF(NOT("https://maps.app.goo.gl/jidFef5beuMf9sheA" = ""), HYPERLINK("https://maps.app.goo.gl/jidFef5beuMf9sheA", "موقع"), "")</f>
        <v>موقع</v>
      </c>
    </row>
    <row r="277" spans="1:27" x14ac:dyDescent="0.3">
      <c r="A277" t="s">
        <v>981</v>
      </c>
      <c r="B277" s="8">
        <v>46282.623217592591</v>
      </c>
      <c r="C277" t="s">
        <v>2</v>
      </c>
      <c r="D277" t="s">
        <v>469</v>
      </c>
      <c r="E277" t="s">
        <v>751</v>
      </c>
      <c r="F277" t="s">
        <v>3013</v>
      </c>
      <c r="G277" t="s">
        <v>468</v>
      </c>
      <c r="H277" t="s">
        <v>747</v>
      </c>
      <c r="I277" t="s">
        <v>748</v>
      </c>
      <c r="J277" t="s">
        <v>951</v>
      </c>
      <c r="K277" t="s">
        <v>978</v>
      </c>
      <c r="L277">
        <v>0</v>
      </c>
      <c r="M277">
        <v>407</v>
      </c>
      <c r="N277">
        <v>7000</v>
      </c>
      <c r="Q277" t="s">
        <v>982</v>
      </c>
      <c r="S277" t="s">
        <v>2525</v>
      </c>
      <c r="T277" t="s">
        <v>3014</v>
      </c>
      <c r="W277" t="s">
        <v>983</v>
      </c>
      <c r="Y277" t="s">
        <v>30</v>
      </c>
      <c r="Z277" t="s">
        <v>30</v>
      </c>
      <c r="AA277" t="s">
        <v>30</v>
      </c>
    </row>
    <row r="278" spans="1:27" x14ac:dyDescent="0.3">
      <c r="A278" t="s">
        <v>984</v>
      </c>
      <c r="B278" s="8">
        <v>46282.623217592591</v>
      </c>
      <c r="C278" t="s">
        <v>2</v>
      </c>
      <c r="D278" t="s">
        <v>469</v>
      </c>
      <c r="E278" t="s">
        <v>751</v>
      </c>
      <c r="F278" t="s">
        <v>3015</v>
      </c>
      <c r="G278" t="s">
        <v>468</v>
      </c>
      <c r="H278" t="s">
        <v>747</v>
      </c>
      <c r="I278" t="s">
        <v>748</v>
      </c>
      <c r="J278" t="s">
        <v>951</v>
      </c>
      <c r="K278" t="s">
        <v>978</v>
      </c>
      <c r="L278">
        <v>0</v>
      </c>
      <c r="M278">
        <v>416</v>
      </c>
      <c r="N278">
        <v>9000</v>
      </c>
      <c r="O278">
        <v>32.103971999999999</v>
      </c>
      <c r="P278">
        <v>36.464638999999998</v>
      </c>
      <c r="Q278" t="s">
        <v>985</v>
      </c>
      <c r="S278" t="s">
        <v>2525</v>
      </c>
      <c r="T278" t="s">
        <v>3016</v>
      </c>
      <c r="U278" t="s">
        <v>3017</v>
      </c>
      <c r="W278" t="s">
        <v>986</v>
      </c>
      <c r="Y278" t="s">
        <v>30</v>
      </c>
      <c r="Z278" t="s">
        <v>30</v>
      </c>
      <c r="AA278" t="str">
        <f>IF(NOT("https://maps.app.goo.gl/VMbSFeAuZNRaJ7TX9" = ""), HYPERLINK("https://maps.app.goo.gl/VMbSFeAuZNRaJ7TX9", "موقع"), "")</f>
        <v>موقع</v>
      </c>
    </row>
    <row r="279" spans="1:27" x14ac:dyDescent="0.3">
      <c r="A279" t="s">
        <v>987</v>
      </c>
      <c r="B279" s="8">
        <v>46282.623217592591</v>
      </c>
      <c r="C279" t="s">
        <v>2</v>
      </c>
      <c r="D279" t="s">
        <v>469</v>
      </c>
      <c r="E279" t="s">
        <v>988</v>
      </c>
      <c r="F279" t="s">
        <v>3018</v>
      </c>
      <c r="G279" t="s">
        <v>468</v>
      </c>
      <c r="H279" t="s">
        <v>747</v>
      </c>
      <c r="I279" t="s">
        <v>748</v>
      </c>
      <c r="J279" t="s">
        <v>878</v>
      </c>
      <c r="K279" t="s">
        <v>879</v>
      </c>
      <c r="L279">
        <v>0</v>
      </c>
      <c r="M279">
        <v>1203</v>
      </c>
      <c r="N279">
        <v>15000</v>
      </c>
      <c r="Q279" t="s">
        <v>989</v>
      </c>
      <c r="S279" t="s">
        <v>2525</v>
      </c>
      <c r="T279" t="s">
        <v>3019</v>
      </c>
      <c r="W279" t="s">
        <v>990</v>
      </c>
      <c r="Y279" t="s">
        <v>30</v>
      </c>
      <c r="Z279" t="s">
        <v>30</v>
      </c>
      <c r="AA279" t="s">
        <v>30</v>
      </c>
    </row>
    <row r="280" spans="1:27" x14ac:dyDescent="0.3">
      <c r="A280" t="s">
        <v>991</v>
      </c>
      <c r="B280" s="8">
        <v>46282.623217592591</v>
      </c>
      <c r="C280" t="s">
        <v>2</v>
      </c>
      <c r="D280" t="s">
        <v>469</v>
      </c>
      <c r="E280" t="s">
        <v>994</v>
      </c>
      <c r="F280" t="s">
        <v>3020</v>
      </c>
      <c r="G280" t="s">
        <v>468</v>
      </c>
      <c r="H280" t="s">
        <v>747</v>
      </c>
      <c r="I280" t="s">
        <v>748</v>
      </c>
      <c r="J280" t="s">
        <v>992</v>
      </c>
      <c r="K280" t="s">
        <v>993</v>
      </c>
      <c r="L280">
        <v>0</v>
      </c>
      <c r="M280">
        <v>1326</v>
      </c>
      <c r="N280">
        <v>15000</v>
      </c>
      <c r="O280">
        <v>32.073110999999997</v>
      </c>
      <c r="P280">
        <v>36.052889</v>
      </c>
      <c r="Q280" t="s">
        <v>995</v>
      </c>
      <c r="S280" t="s">
        <v>2525</v>
      </c>
      <c r="T280" t="s">
        <v>3021</v>
      </c>
      <c r="U280" t="s">
        <v>3022</v>
      </c>
      <c r="W280" t="s">
        <v>996</v>
      </c>
      <c r="Y280" t="s">
        <v>30</v>
      </c>
      <c r="Z280" t="s">
        <v>30</v>
      </c>
      <c r="AA280" t="str">
        <f>IF(NOT("https://maps.app.goo.gl/p5UeiG7Wqy3ELzHC7" = ""), HYPERLINK("https://maps.app.goo.gl/p5UeiG7Wqy3ELzHC7", "موقع"), "")</f>
        <v>موقع</v>
      </c>
    </row>
    <row r="281" spans="1:27" x14ac:dyDescent="0.3">
      <c r="A281" t="s">
        <v>997</v>
      </c>
      <c r="B281" s="8">
        <v>46282.623217592591</v>
      </c>
      <c r="C281" t="s">
        <v>2</v>
      </c>
      <c r="D281" t="s">
        <v>469</v>
      </c>
      <c r="E281" t="s">
        <v>999</v>
      </c>
      <c r="F281" t="s">
        <v>3023</v>
      </c>
      <c r="G281" t="s">
        <v>468</v>
      </c>
      <c r="H281" t="s">
        <v>747</v>
      </c>
      <c r="I281" t="s">
        <v>748</v>
      </c>
      <c r="J281" t="s">
        <v>998</v>
      </c>
      <c r="K281" t="s">
        <v>333</v>
      </c>
      <c r="L281">
        <v>0</v>
      </c>
      <c r="M281">
        <v>723</v>
      </c>
      <c r="N281">
        <v>16000</v>
      </c>
      <c r="O281">
        <v>32.187694</v>
      </c>
      <c r="P281">
        <v>36.084028000000004</v>
      </c>
      <c r="Q281" t="s">
        <v>1000</v>
      </c>
      <c r="S281" t="s">
        <v>2525</v>
      </c>
      <c r="U281" t="s">
        <v>3024</v>
      </c>
      <c r="W281" t="s">
        <v>1001</v>
      </c>
      <c r="Y281" t="s">
        <v>30</v>
      </c>
      <c r="Z281" t="s">
        <v>30</v>
      </c>
      <c r="AA281" t="str">
        <f>IF(NOT("https://maps.app.goo.gl/jw4ME2tEkNe1zotH6" = ""), HYPERLINK("https://maps.app.goo.gl/jw4ME2tEkNe1zotH6", "موقع"), "")</f>
        <v>موقع</v>
      </c>
    </row>
    <row r="282" spans="1:27" x14ac:dyDescent="0.3">
      <c r="A282" t="s">
        <v>1002</v>
      </c>
      <c r="B282" s="8">
        <v>46282.623217592591</v>
      </c>
      <c r="C282" t="s">
        <v>2</v>
      </c>
      <c r="D282" t="s">
        <v>469</v>
      </c>
      <c r="E282" t="s">
        <v>1004</v>
      </c>
      <c r="F282" t="s">
        <v>3025</v>
      </c>
      <c r="G282" t="s">
        <v>468</v>
      </c>
      <c r="H282" t="s">
        <v>747</v>
      </c>
      <c r="I282" t="s">
        <v>748</v>
      </c>
      <c r="J282" t="s">
        <v>922</v>
      </c>
      <c r="K282" t="s">
        <v>1003</v>
      </c>
      <c r="L282">
        <v>0</v>
      </c>
      <c r="M282">
        <v>329</v>
      </c>
      <c r="N282">
        <v>23000</v>
      </c>
      <c r="O282">
        <v>32.040722000000002</v>
      </c>
      <c r="P282">
        <v>36.025832999999999</v>
      </c>
      <c r="Q282" t="s">
        <v>1005</v>
      </c>
      <c r="S282" t="s">
        <v>2525</v>
      </c>
      <c r="T282" t="s">
        <v>3026</v>
      </c>
      <c r="U282" t="s">
        <v>3027</v>
      </c>
      <c r="W282" t="s">
        <v>1006</v>
      </c>
      <c r="Y282" t="s">
        <v>30</v>
      </c>
      <c r="Z282" t="s">
        <v>30</v>
      </c>
      <c r="AA282" t="str">
        <f>IF(NOT("https://maps.app.goo.gl/sZPBQeHukGbCoZDY9" = ""), HYPERLINK("https://maps.app.goo.gl/sZPBQeHukGbCoZDY9", "موقع"), "")</f>
        <v>موقع</v>
      </c>
    </row>
    <row r="283" spans="1:27" x14ac:dyDescent="0.3">
      <c r="A283" t="s">
        <v>1007</v>
      </c>
      <c r="B283" s="8">
        <v>46282.623217592591</v>
      </c>
      <c r="C283" t="s">
        <v>2</v>
      </c>
      <c r="D283" t="s">
        <v>469</v>
      </c>
      <c r="E283" t="s">
        <v>1004</v>
      </c>
      <c r="F283" t="s">
        <v>3028</v>
      </c>
      <c r="G283" t="s">
        <v>468</v>
      </c>
      <c r="H283" t="s">
        <v>747</v>
      </c>
      <c r="I283" t="s">
        <v>748</v>
      </c>
      <c r="J283" t="s">
        <v>922</v>
      </c>
      <c r="K283" t="s">
        <v>1008</v>
      </c>
      <c r="L283">
        <v>0</v>
      </c>
      <c r="M283">
        <v>261</v>
      </c>
      <c r="N283">
        <v>36000</v>
      </c>
      <c r="O283">
        <v>32.069417000000001</v>
      </c>
      <c r="P283">
        <v>36.038055999999997</v>
      </c>
      <c r="Q283" t="s">
        <v>1009</v>
      </c>
      <c r="S283" t="s">
        <v>2525</v>
      </c>
      <c r="T283" t="s">
        <v>3029</v>
      </c>
      <c r="U283" t="s">
        <v>3030</v>
      </c>
      <c r="W283" t="s">
        <v>1010</v>
      </c>
      <c r="Y283" t="s">
        <v>30</v>
      </c>
      <c r="Z283" t="s">
        <v>30</v>
      </c>
      <c r="AA283" t="str">
        <f>IF(NOT("https://maps.app.goo.gl/K5ftzPSd6z6MToWU9" = ""), HYPERLINK("https://maps.app.goo.gl/K5ftzPSd6z6MToWU9", "موقع"), "")</f>
        <v>موقع</v>
      </c>
    </row>
    <row r="284" spans="1:27" x14ac:dyDescent="0.3">
      <c r="A284" t="s">
        <v>1011</v>
      </c>
      <c r="B284" s="8">
        <v>46282.623217592591</v>
      </c>
      <c r="C284" t="s">
        <v>2</v>
      </c>
      <c r="D284" t="s">
        <v>516</v>
      </c>
      <c r="E284" t="s">
        <v>945</v>
      </c>
      <c r="F284" t="s">
        <v>3031</v>
      </c>
      <c r="G284" t="s">
        <v>468</v>
      </c>
      <c r="H284" t="s">
        <v>747</v>
      </c>
      <c r="I284" t="s">
        <v>748</v>
      </c>
      <c r="J284" t="s">
        <v>1012</v>
      </c>
      <c r="K284" t="s">
        <v>1013</v>
      </c>
      <c r="L284">
        <v>0</v>
      </c>
      <c r="M284">
        <v>129</v>
      </c>
      <c r="N284">
        <v>127000</v>
      </c>
      <c r="O284">
        <v>32.111556</v>
      </c>
      <c r="P284">
        <v>36.336917</v>
      </c>
      <c r="Q284" t="s">
        <v>1014</v>
      </c>
      <c r="S284" t="s">
        <v>2525</v>
      </c>
      <c r="T284" t="s">
        <v>3032</v>
      </c>
      <c r="U284" t="s">
        <v>3033</v>
      </c>
      <c r="W284" t="s">
        <v>1015</v>
      </c>
      <c r="Y284" t="s">
        <v>30</v>
      </c>
      <c r="Z284" t="s">
        <v>30</v>
      </c>
      <c r="AA284" t="str">
        <f>IF(NOT("https://maps.app.goo.gl/MKuNLonKeLB1z1gt9" = ""), HYPERLINK("https://maps.app.goo.gl/MKuNLonKeLB1z1gt9", "موقع"), "")</f>
        <v>موقع</v>
      </c>
    </row>
    <row r="285" spans="1:27" x14ac:dyDescent="0.3">
      <c r="A285" t="s">
        <v>1016</v>
      </c>
      <c r="B285" s="8">
        <v>46282.623217592591</v>
      </c>
      <c r="C285" t="s">
        <v>2</v>
      </c>
      <c r="D285" t="s">
        <v>516</v>
      </c>
      <c r="E285" t="s">
        <v>974</v>
      </c>
      <c r="F285" t="s">
        <v>3034</v>
      </c>
      <c r="G285" t="s">
        <v>468</v>
      </c>
      <c r="H285" t="s">
        <v>747</v>
      </c>
      <c r="I285" t="s">
        <v>748</v>
      </c>
      <c r="J285" t="s">
        <v>972</v>
      </c>
      <c r="K285" t="s">
        <v>973</v>
      </c>
      <c r="L285">
        <v>0</v>
      </c>
      <c r="M285">
        <v>474</v>
      </c>
      <c r="O285">
        <v>32.170444000000003</v>
      </c>
      <c r="P285">
        <v>35.941417000000001</v>
      </c>
      <c r="Q285" t="s">
        <v>1017</v>
      </c>
      <c r="R285" t="s">
        <v>3035</v>
      </c>
      <c r="S285" t="s">
        <v>2579</v>
      </c>
      <c r="T285" t="s">
        <v>3036</v>
      </c>
      <c r="U285" t="s">
        <v>3037</v>
      </c>
      <c r="Y285" t="s">
        <v>30</v>
      </c>
      <c r="Z285" t="str">
        <f>IF(NOT("https://www.true-markets.net/media/360tour/housing-bank/senad/index.html" = ""), HYPERLINK("https://www.true-markets.net/media/360tour/housing-bank/senad/index.html", "جولة"), "")</f>
        <v>جولة</v>
      </c>
      <c r="AA285" t="str">
        <f>IF(NOT("https://maps.app.goo.gl/xLymTztC9UYMpxvB6" = ""), HYPERLINK("https://maps.app.goo.gl/xLymTztC9UYMpxvB6", "موقع"), "")</f>
        <v>موقع</v>
      </c>
    </row>
    <row r="286" spans="1:27" x14ac:dyDescent="0.3">
      <c r="A286" t="s">
        <v>1018</v>
      </c>
      <c r="B286" s="8">
        <v>46282.623217592591</v>
      </c>
      <c r="C286" t="s">
        <v>2</v>
      </c>
      <c r="D286" t="s">
        <v>516</v>
      </c>
      <c r="E286" t="s">
        <v>974</v>
      </c>
      <c r="F286" t="s">
        <v>3038</v>
      </c>
      <c r="G286" t="s">
        <v>468</v>
      </c>
      <c r="H286" t="s">
        <v>747</v>
      </c>
      <c r="I286" t="s">
        <v>748</v>
      </c>
      <c r="J286" t="s">
        <v>972</v>
      </c>
      <c r="K286" t="s">
        <v>973</v>
      </c>
      <c r="L286">
        <v>0</v>
      </c>
      <c r="M286">
        <v>300</v>
      </c>
      <c r="O286">
        <v>32.172556</v>
      </c>
      <c r="P286">
        <v>35.940944000000002</v>
      </c>
      <c r="Q286" t="s">
        <v>1019</v>
      </c>
      <c r="R286" t="s">
        <v>3035</v>
      </c>
      <c r="S286" t="s">
        <v>2579</v>
      </c>
      <c r="T286" t="s">
        <v>3039</v>
      </c>
      <c r="U286" t="s">
        <v>3040</v>
      </c>
      <c r="Y286" t="s">
        <v>30</v>
      </c>
      <c r="Z286" t="str">
        <f>IF(NOT("https://www.true-markets.net/media/360tour/housing-bank/senad/index.html" = ""), HYPERLINK("https://www.true-markets.net/media/360tour/housing-bank/senad/index.html", "جولة"), "")</f>
        <v>جولة</v>
      </c>
      <c r="AA286" t="str">
        <f>IF(NOT("https://maps.app.goo.gl/jvscFH6ocMSyuvVm7" = ""), HYPERLINK("https://maps.app.goo.gl/jvscFH6ocMSyuvVm7", "موقع"), "")</f>
        <v>موقع</v>
      </c>
    </row>
    <row r="287" spans="1:27" x14ac:dyDescent="0.3">
      <c r="A287" t="s">
        <v>1020</v>
      </c>
      <c r="B287" s="8">
        <v>46282.623217592591</v>
      </c>
      <c r="C287" t="s">
        <v>2</v>
      </c>
      <c r="D287" t="s">
        <v>516</v>
      </c>
      <c r="E287" t="s">
        <v>974</v>
      </c>
      <c r="F287" t="s">
        <v>3041</v>
      </c>
      <c r="G287" t="s">
        <v>468</v>
      </c>
      <c r="H287" t="s">
        <v>747</v>
      </c>
      <c r="I287" t="s">
        <v>748</v>
      </c>
      <c r="J287" t="s">
        <v>972</v>
      </c>
      <c r="K287" t="s">
        <v>973</v>
      </c>
      <c r="L287">
        <v>0</v>
      </c>
      <c r="M287">
        <v>301</v>
      </c>
      <c r="O287">
        <v>32.171278000000001</v>
      </c>
      <c r="P287">
        <v>35.941389000000001</v>
      </c>
      <c r="Q287" t="s">
        <v>1021</v>
      </c>
      <c r="R287" t="s">
        <v>3035</v>
      </c>
      <c r="S287" t="s">
        <v>2579</v>
      </c>
      <c r="T287" t="s">
        <v>3042</v>
      </c>
      <c r="U287" t="s">
        <v>3043</v>
      </c>
      <c r="Y287" t="s">
        <v>30</v>
      </c>
      <c r="Z287" t="str">
        <f>IF(NOT("https://www.true-markets.net/media/360tour/housing-bank/senad/index.html" = ""), HYPERLINK("https://www.true-markets.net/media/360tour/housing-bank/senad/index.html", "جولة"), "")</f>
        <v>جولة</v>
      </c>
      <c r="AA287" t="str">
        <f>IF(NOT("https://maps.app.goo.gl/q3jNWh9PpsuwTuZM9" = ""), HYPERLINK("https://maps.app.goo.gl/q3jNWh9PpsuwTuZM9", "موقع"), "")</f>
        <v>موقع</v>
      </c>
    </row>
    <row r="288" spans="1:27" x14ac:dyDescent="0.3">
      <c r="A288" t="s">
        <v>1022</v>
      </c>
      <c r="B288" s="8">
        <v>46282.623217592591</v>
      </c>
      <c r="C288" t="s">
        <v>2</v>
      </c>
      <c r="D288" t="s">
        <v>522</v>
      </c>
      <c r="E288" t="s">
        <v>829</v>
      </c>
      <c r="F288" t="s">
        <v>3044</v>
      </c>
      <c r="G288" t="s">
        <v>296</v>
      </c>
      <c r="H288" t="s">
        <v>747</v>
      </c>
      <c r="I288" t="s">
        <v>748</v>
      </c>
      <c r="J288" t="s">
        <v>827</v>
      </c>
      <c r="K288" t="s">
        <v>828</v>
      </c>
      <c r="L288">
        <v>0</v>
      </c>
      <c r="M288">
        <v>576</v>
      </c>
      <c r="N288">
        <v>46000</v>
      </c>
      <c r="O288">
        <v>32.136833000000003</v>
      </c>
      <c r="P288">
        <v>36.064082999999997</v>
      </c>
      <c r="Q288" t="s">
        <v>1023</v>
      </c>
      <c r="S288" t="s">
        <v>2525</v>
      </c>
      <c r="U288" t="s">
        <v>3045</v>
      </c>
      <c r="W288" t="s">
        <v>1024</v>
      </c>
      <c r="Y288" t="s">
        <v>30</v>
      </c>
      <c r="Z288" t="s">
        <v>30</v>
      </c>
      <c r="AA288" t="str">
        <f>IF(NOT("https://maps.app.goo.gl/eBjN3nffY4XHPcbF7" = ""), HYPERLINK("https://maps.app.goo.gl/eBjN3nffY4XHPcbF7", "موقع"), "")</f>
        <v>موقع</v>
      </c>
    </row>
    <row r="289" spans="1:27" x14ac:dyDescent="0.3">
      <c r="A289" t="s">
        <v>1025</v>
      </c>
      <c r="B289" s="8">
        <v>46282.623217592591</v>
      </c>
      <c r="C289" t="s">
        <v>2</v>
      </c>
      <c r="D289" t="s">
        <v>522</v>
      </c>
      <c r="E289" t="s">
        <v>829</v>
      </c>
      <c r="F289" t="s">
        <v>3046</v>
      </c>
      <c r="G289" t="s">
        <v>296</v>
      </c>
      <c r="H289" t="s">
        <v>747</v>
      </c>
      <c r="I289" t="s">
        <v>748</v>
      </c>
      <c r="J289" t="s">
        <v>827</v>
      </c>
      <c r="K289" t="s">
        <v>828</v>
      </c>
      <c r="L289">
        <v>0</v>
      </c>
      <c r="M289">
        <v>854</v>
      </c>
      <c r="O289">
        <v>32.137332999999998</v>
      </c>
      <c r="P289">
        <v>36.069693999999998</v>
      </c>
      <c r="Q289" t="s">
        <v>1026</v>
      </c>
      <c r="S289" t="s">
        <v>2525</v>
      </c>
      <c r="U289" t="s">
        <v>3047</v>
      </c>
      <c r="Y289" t="s">
        <v>30</v>
      </c>
      <c r="Z289" t="s">
        <v>30</v>
      </c>
      <c r="AA289" t="str">
        <f>IF(NOT("https://maps.app.goo.gl/wdysZEkQ4eVohZRc8" = ""), HYPERLINK("https://maps.app.goo.gl/wdysZEkQ4eVohZRc8", "موقع"), "")</f>
        <v>موقع</v>
      </c>
    </row>
    <row r="290" spans="1:27" x14ac:dyDescent="0.3">
      <c r="A290" t="s">
        <v>1027</v>
      </c>
      <c r="B290" s="8">
        <v>46282.623217592591</v>
      </c>
      <c r="C290" t="s">
        <v>2</v>
      </c>
      <c r="D290" t="s">
        <v>59</v>
      </c>
      <c r="E290" t="s">
        <v>345</v>
      </c>
      <c r="F290" t="s">
        <v>3048</v>
      </c>
      <c r="G290" t="s">
        <v>21</v>
      </c>
      <c r="H290" t="s">
        <v>1028</v>
      </c>
      <c r="I290" t="s">
        <v>1029</v>
      </c>
      <c r="J290" t="s">
        <v>1030</v>
      </c>
      <c r="K290" t="s">
        <v>1031</v>
      </c>
      <c r="L290">
        <v>-101</v>
      </c>
      <c r="M290">
        <v>830</v>
      </c>
      <c r="N290">
        <v>14000</v>
      </c>
      <c r="O290">
        <v>30.830278</v>
      </c>
      <c r="P290">
        <v>35.621861000000003</v>
      </c>
      <c r="Q290" t="s">
        <v>1032</v>
      </c>
      <c r="S290" t="s">
        <v>2525</v>
      </c>
      <c r="U290" t="s">
        <v>3049</v>
      </c>
      <c r="V290" t="s">
        <v>33</v>
      </c>
      <c r="W290" t="s">
        <v>1033</v>
      </c>
      <c r="Y290" t="s">
        <v>30</v>
      </c>
      <c r="Z290" t="s">
        <v>30</v>
      </c>
      <c r="AA290" t="str">
        <f>IF(NOT("https://maps.app.goo.gl/rLhjJBoAKcAsRd6y7" = ""), HYPERLINK("https://maps.app.goo.gl/rLhjJBoAKcAsRd6y7", "موقع"), "")</f>
        <v>موقع</v>
      </c>
    </row>
    <row r="291" spans="1:27" x14ac:dyDescent="0.3">
      <c r="A291" t="s">
        <v>1034</v>
      </c>
      <c r="B291" s="8">
        <v>46282.623217592591</v>
      </c>
      <c r="C291" t="s">
        <v>2</v>
      </c>
      <c r="D291" t="s">
        <v>59</v>
      </c>
      <c r="E291" t="s">
        <v>345</v>
      </c>
      <c r="F291" t="s">
        <v>3050</v>
      </c>
      <c r="G291" t="s">
        <v>21</v>
      </c>
      <c r="H291" t="s">
        <v>1028</v>
      </c>
      <c r="I291" t="s">
        <v>1029</v>
      </c>
      <c r="J291" t="s">
        <v>1030</v>
      </c>
      <c r="K291" t="s">
        <v>1035</v>
      </c>
      <c r="L291">
        <v>-101</v>
      </c>
      <c r="M291">
        <v>384</v>
      </c>
      <c r="N291">
        <v>18000</v>
      </c>
      <c r="O291">
        <v>30.835639</v>
      </c>
      <c r="P291">
        <v>35.613056</v>
      </c>
      <c r="Q291" t="s">
        <v>279</v>
      </c>
      <c r="S291" t="s">
        <v>2525</v>
      </c>
      <c r="U291" t="s">
        <v>3051</v>
      </c>
      <c r="V291" t="s">
        <v>33</v>
      </c>
      <c r="W291" t="s">
        <v>1036</v>
      </c>
      <c r="Y291" t="s">
        <v>30</v>
      </c>
      <c r="Z291" t="s">
        <v>30</v>
      </c>
      <c r="AA291" t="str">
        <f>IF(NOT("https://maps.app.goo.gl/339xFF8oG3pQiBZK6" = ""), HYPERLINK("https://maps.app.goo.gl/339xFF8oG3pQiBZK6", "موقع"), "")</f>
        <v>موقع</v>
      </c>
    </row>
    <row r="292" spans="1:27" x14ac:dyDescent="0.3">
      <c r="A292" t="s">
        <v>1037</v>
      </c>
      <c r="B292" s="8">
        <v>46282.623217592591</v>
      </c>
      <c r="C292" t="s">
        <v>2</v>
      </c>
      <c r="D292" t="s">
        <v>59</v>
      </c>
      <c r="E292" t="s">
        <v>345</v>
      </c>
      <c r="F292" t="s">
        <v>3052</v>
      </c>
      <c r="G292" t="s">
        <v>21</v>
      </c>
      <c r="H292" t="s">
        <v>1028</v>
      </c>
      <c r="I292" t="s">
        <v>1029</v>
      </c>
      <c r="J292" t="s">
        <v>1038</v>
      </c>
      <c r="K292" t="s">
        <v>1039</v>
      </c>
      <c r="L292">
        <v>102</v>
      </c>
      <c r="M292">
        <v>506</v>
      </c>
      <c r="N292">
        <v>19000</v>
      </c>
      <c r="O292">
        <v>30.777667000000001</v>
      </c>
      <c r="P292">
        <v>35.596666999999997</v>
      </c>
      <c r="Q292" t="s">
        <v>797</v>
      </c>
      <c r="S292" t="s">
        <v>2525</v>
      </c>
      <c r="U292" t="s">
        <v>3053</v>
      </c>
      <c r="V292" t="s">
        <v>43</v>
      </c>
      <c r="W292" t="s">
        <v>1040</v>
      </c>
      <c r="Y292" t="s">
        <v>30</v>
      </c>
      <c r="Z292" t="s">
        <v>30</v>
      </c>
      <c r="AA292" t="str">
        <f>IF(NOT("https://maps.app.goo.gl/9JdRDMJiocdRG3UWA" = ""), HYPERLINK("https://maps.app.goo.gl/9JdRDMJiocdRG3UWA", "موقع"), "")</f>
        <v>موقع</v>
      </c>
    </row>
    <row r="293" spans="1:27" x14ac:dyDescent="0.3">
      <c r="A293" t="s">
        <v>1041</v>
      </c>
      <c r="B293" s="8">
        <v>46282.623217592591</v>
      </c>
      <c r="C293" t="s">
        <v>2</v>
      </c>
      <c r="D293" t="s">
        <v>59</v>
      </c>
      <c r="E293" t="s">
        <v>1043</v>
      </c>
      <c r="F293" t="s">
        <v>3054</v>
      </c>
      <c r="G293" t="s">
        <v>21</v>
      </c>
      <c r="H293" t="s">
        <v>1028</v>
      </c>
      <c r="I293" t="s">
        <v>1029</v>
      </c>
      <c r="J293" t="s">
        <v>1030</v>
      </c>
      <c r="K293" t="s">
        <v>1042</v>
      </c>
      <c r="L293">
        <v>111</v>
      </c>
      <c r="M293">
        <v>430</v>
      </c>
      <c r="N293">
        <v>21000</v>
      </c>
      <c r="O293">
        <v>30.839333</v>
      </c>
      <c r="P293">
        <v>35.6355</v>
      </c>
      <c r="Q293" t="s">
        <v>1044</v>
      </c>
      <c r="S293" t="s">
        <v>2525</v>
      </c>
      <c r="U293" t="s">
        <v>3055</v>
      </c>
      <c r="V293" t="s">
        <v>43</v>
      </c>
      <c r="W293" t="s">
        <v>1045</v>
      </c>
      <c r="Y293" t="s">
        <v>30</v>
      </c>
      <c r="Z293" t="s">
        <v>30</v>
      </c>
      <c r="AA293" t="str">
        <f>IF(NOT("https://maps.app.goo.gl/Eqs4yfTbVDHCPyfx8" = ""), HYPERLINK("https://maps.app.goo.gl/Eqs4yfTbVDHCPyfx8", "موقع"), "")</f>
        <v>موقع</v>
      </c>
    </row>
    <row r="294" spans="1:27" x14ac:dyDescent="0.3">
      <c r="A294" t="s">
        <v>1046</v>
      </c>
      <c r="B294" s="8">
        <v>46282.623217592591</v>
      </c>
      <c r="C294" t="s">
        <v>2</v>
      </c>
      <c r="D294" t="s">
        <v>59</v>
      </c>
      <c r="E294" t="s">
        <v>1043</v>
      </c>
      <c r="F294" t="s">
        <v>3056</v>
      </c>
      <c r="G294" t="s">
        <v>21</v>
      </c>
      <c r="H294" t="s">
        <v>1028</v>
      </c>
      <c r="I294" t="s">
        <v>1029</v>
      </c>
      <c r="J294" t="s">
        <v>1030</v>
      </c>
      <c r="K294" t="s">
        <v>1047</v>
      </c>
      <c r="L294">
        <v>111</v>
      </c>
      <c r="M294">
        <v>486</v>
      </c>
      <c r="N294">
        <v>22000</v>
      </c>
      <c r="O294">
        <v>30.873556000000001</v>
      </c>
      <c r="P294">
        <v>35.680332999999997</v>
      </c>
      <c r="Q294" t="s">
        <v>850</v>
      </c>
      <c r="S294" t="s">
        <v>2525</v>
      </c>
      <c r="U294" t="s">
        <v>3057</v>
      </c>
      <c r="V294" t="s">
        <v>43</v>
      </c>
      <c r="W294" t="s">
        <v>1048</v>
      </c>
      <c r="Y294" t="s">
        <v>30</v>
      </c>
      <c r="Z294" t="s">
        <v>30</v>
      </c>
      <c r="AA294" t="str">
        <f>IF(NOT("https://maps.app.goo.gl/sWVr5rvPBTvKmKxj7" = ""), HYPERLINK("https://maps.app.goo.gl/sWVr5rvPBTvKmKxj7", "موقع"), "")</f>
        <v>موقع</v>
      </c>
    </row>
    <row r="295" spans="1:27" x14ac:dyDescent="0.3">
      <c r="A295" t="s">
        <v>1049</v>
      </c>
      <c r="B295" s="8">
        <v>46282.623217592591</v>
      </c>
      <c r="C295" t="s">
        <v>2</v>
      </c>
      <c r="D295" t="s">
        <v>315</v>
      </c>
      <c r="E295" t="s">
        <v>345</v>
      </c>
      <c r="F295" t="s">
        <v>3058</v>
      </c>
      <c r="G295" t="s">
        <v>296</v>
      </c>
      <c r="H295" t="s">
        <v>1028</v>
      </c>
      <c r="I295" t="s">
        <v>1029</v>
      </c>
      <c r="J295" t="s">
        <v>1030</v>
      </c>
      <c r="K295" t="s">
        <v>1050</v>
      </c>
      <c r="L295">
        <v>0</v>
      </c>
      <c r="M295">
        <v>384</v>
      </c>
      <c r="N295">
        <v>8000</v>
      </c>
      <c r="O295">
        <v>30.851693999999998</v>
      </c>
      <c r="P295">
        <v>35.611611000000003</v>
      </c>
      <c r="Q295" t="s">
        <v>1051</v>
      </c>
      <c r="S295" t="s">
        <v>2525</v>
      </c>
      <c r="U295" t="s">
        <v>3059</v>
      </c>
      <c r="W295" t="s">
        <v>1052</v>
      </c>
      <c r="Y295" t="s">
        <v>30</v>
      </c>
      <c r="Z295" t="s">
        <v>30</v>
      </c>
      <c r="AA295" t="str">
        <f>IF(NOT("https://maps.app.goo.gl/8AmqVAUV54EUe8eW6" = ""), HYPERLINK("https://maps.app.goo.gl/8AmqVAUV54EUe8eW6", "موقع"), "")</f>
        <v>موقع</v>
      </c>
    </row>
    <row r="296" spans="1:27" x14ac:dyDescent="0.3">
      <c r="A296" t="s">
        <v>1053</v>
      </c>
      <c r="B296" s="8">
        <v>46282.623217592591</v>
      </c>
      <c r="C296" t="s">
        <v>2</v>
      </c>
      <c r="D296" t="s">
        <v>315</v>
      </c>
      <c r="E296" t="s">
        <v>345</v>
      </c>
      <c r="F296" t="s">
        <v>3060</v>
      </c>
      <c r="G296" t="s">
        <v>296</v>
      </c>
      <c r="H296" t="s">
        <v>1028</v>
      </c>
      <c r="I296" t="s">
        <v>1029</v>
      </c>
      <c r="J296" t="s">
        <v>1030</v>
      </c>
      <c r="K296" t="s">
        <v>1050</v>
      </c>
      <c r="L296">
        <v>0</v>
      </c>
      <c r="M296">
        <v>381</v>
      </c>
      <c r="N296">
        <v>13000</v>
      </c>
      <c r="O296">
        <v>30.85125</v>
      </c>
      <c r="P296">
        <v>35.611027999999997</v>
      </c>
      <c r="Q296" t="s">
        <v>1054</v>
      </c>
      <c r="S296" t="s">
        <v>2525</v>
      </c>
      <c r="U296" t="s">
        <v>3061</v>
      </c>
      <c r="W296" t="s">
        <v>1055</v>
      </c>
      <c r="Y296" t="s">
        <v>30</v>
      </c>
      <c r="Z296" t="s">
        <v>30</v>
      </c>
      <c r="AA296" t="str">
        <f>IF(NOT("https://maps.app.goo.gl/nzvihjacCQVKVv8r8" = ""), HYPERLINK("https://maps.app.goo.gl/nzvihjacCQVKVv8r8", "موقع"), "")</f>
        <v>موقع</v>
      </c>
    </row>
    <row r="297" spans="1:27" x14ac:dyDescent="0.3">
      <c r="A297" t="s">
        <v>1056</v>
      </c>
      <c r="B297" s="8">
        <v>46282.623217592591</v>
      </c>
      <c r="C297" t="s">
        <v>2</v>
      </c>
      <c r="D297" t="s">
        <v>315</v>
      </c>
      <c r="E297" t="s">
        <v>345</v>
      </c>
      <c r="F297" t="s">
        <v>3062</v>
      </c>
      <c r="G297" t="s">
        <v>296</v>
      </c>
      <c r="H297" t="s">
        <v>1028</v>
      </c>
      <c r="I297" t="s">
        <v>1029</v>
      </c>
      <c r="J297" t="s">
        <v>1030</v>
      </c>
      <c r="K297" t="s">
        <v>1057</v>
      </c>
      <c r="L297">
        <v>0</v>
      </c>
      <c r="M297">
        <v>115</v>
      </c>
      <c r="N297">
        <v>29000</v>
      </c>
      <c r="Q297" t="s">
        <v>1058</v>
      </c>
      <c r="S297" t="s">
        <v>2525</v>
      </c>
      <c r="W297" t="s">
        <v>1059</v>
      </c>
      <c r="Y297" t="s">
        <v>30</v>
      </c>
      <c r="Z297" t="s">
        <v>30</v>
      </c>
      <c r="AA297" t="s">
        <v>30</v>
      </c>
    </row>
    <row r="298" spans="1:27" x14ac:dyDescent="0.3">
      <c r="A298" t="s">
        <v>1060</v>
      </c>
      <c r="B298" s="8">
        <v>46282.623217592591</v>
      </c>
      <c r="C298" t="s">
        <v>2</v>
      </c>
      <c r="D298" t="s">
        <v>315</v>
      </c>
      <c r="E298" t="s">
        <v>345</v>
      </c>
      <c r="F298" t="s">
        <v>3063</v>
      </c>
      <c r="G298" t="s">
        <v>296</v>
      </c>
      <c r="H298" t="s">
        <v>1028</v>
      </c>
      <c r="I298" t="s">
        <v>1029</v>
      </c>
      <c r="J298" t="s">
        <v>1030</v>
      </c>
      <c r="K298" t="s">
        <v>1050</v>
      </c>
      <c r="L298">
        <v>0</v>
      </c>
      <c r="M298">
        <v>246</v>
      </c>
      <c r="N298">
        <v>36000</v>
      </c>
      <c r="O298">
        <v>30.854278000000001</v>
      </c>
      <c r="P298">
        <v>35.608832999999997</v>
      </c>
      <c r="Q298" t="s">
        <v>1061</v>
      </c>
      <c r="S298" t="s">
        <v>2525</v>
      </c>
      <c r="U298" t="s">
        <v>3064</v>
      </c>
      <c r="W298" t="s">
        <v>1062</v>
      </c>
      <c r="Y298" t="s">
        <v>30</v>
      </c>
      <c r="Z298" t="s">
        <v>30</v>
      </c>
      <c r="AA298" t="str">
        <f>IF(NOT("https://maps.app.goo.gl/GyuKSSrucU1mHS8PA" = ""), HYPERLINK("https://maps.app.goo.gl/GyuKSSrucU1mHS8PA", "موقع"), "")</f>
        <v>موقع</v>
      </c>
    </row>
    <row r="299" spans="1:27" x14ac:dyDescent="0.3">
      <c r="A299" t="s">
        <v>1063</v>
      </c>
      <c r="B299" s="8">
        <v>46282.623217592591</v>
      </c>
      <c r="C299" t="s">
        <v>2</v>
      </c>
      <c r="D299" t="s">
        <v>315</v>
      </c>
      <c r="E299" t="s">
        <v>345</v>
      </c>
      <c r="F299" t="s">
        <v>3065</v>
      </c>
      <c r="G299" t="s">
        <v>296</v>
      </c>
      <c r="H299" t="s">
        <v>1028</v>
      </c>
      <c r="I299" t="s">
        <v>1029</v>
      </c>
      <c r="J299" t="s">
        <v>1030</v>
      </c>
      <c r="K299" t="s">
        <v>1064</v>
      </c>
      <c r="L299">
        <v>0</v>
      </c>
      <c r="M299">
        <v>225</v>
      </c>
      <c r="N299">
        <v>147000</v>
      </c>
      <c r="Q299" t="s">
        <v>1065</v>
      </c>
      <c r="S299" t="s">
        <v>2525</v>
      </c>
      <c r="W299" t="s">
        <v>1066</v>
      </c>
      <c r="Y299" t="s">
        <v>30</v>
      </c>
      <c r="Z299" t="s">
        <v>30</v>
      </c>
      <c r="AA299" t="s">
        <v>30</v>
      </c>
    </row>
    <row r="300" spans="1:27" x14ac:dyDescent="0.3">
      <c r="A300" t="s">
        <v>1067</v>
      </c>
      <c r="B300" s="8">
        <v>46282.623217592591</v>
      </c>
      <c r="C300" t="s">
        <v>2</v>
      </c>
      <c r="D300" t="s">
        <v>469</v>
      </c>
      <c r="E300" t="s">
        <v>345</v>
      </c>
      <c r="F300" t="s">
        <v>3066</v>
      </c>
      <c r="G300" t="s">
        <v>468</v>
      </c>
      <c r="H300" t="s">
        <v>1028</v>
      </c>
      <c r="I300" t="s">
        <v>1029</v>
      </c>
      <c r="J300" t="s">
        <v>1030</v>
      </c>
      <c r="K300" t="s">
        <v>1068</v>
      </c>
      <c r="L300">
        <v>0</v>
      </c>
      <c r="M300">
        <v>31</v>
      </c>
      <c r="N300">
        <v>4000</v>
      </c>
      <c r="O300">
        <v>30.850249999999999</v>
      </c>
      <c r="P300">
        <v>35.607999999999997</v>
      </c>
      <c r="Q300" t="s">
        <v>1069</v>
      </c>
      <c r="S300" t="s">
        <v>2525</v>
      </c>
      <c r="T300" t="s">
        <v>3067</v>
      </c>
      <c r="U300" t="s">
        <v>3068</v>
      </c>
      <c r="W300" t="s">
        <v>1070</v>
      </c>
      <c r="Y300" t="s">
        <v>30</v>
      </c>
      <c r="Z300" t="s">
        <v>30</v>
      </c>
      <c r="AA300" t="str">
        <f>IF(NOT("https://maps.app.goo.gl/522ACyue7Dw1ySsMA" = ""), HYPERLINK("https://maps.app.goo.gl/522ACyue7Dw1ySsMA", "موقع"), "")</f>
        <v>موقع</v>
      </c>
    </row>
    <row r="301" spans="1:27" x14ac:dyDescent="0.3">
      <c r="A301" t="s">
        <v>1071</v>
      </c>
      <c r="B301" s="8">
        <v>46282.623217592591</v>
      </c>
      <c r="C301" t="s">
        <v>2</v>
      </c>
      <c r="D301" t="s">
        <v>469</v>
      </c>
      <c r="E301" t="s">
        <v>345</v>
      </c>
      <c r="F301" t="s">
        <v>3069</v>
      </c>
      <c r="G301" t="s">
        <v>468</v>
      </c>
      <c r="H301" t="s">
        <v>1028</v>
      </c>
      <c r="I301" t="s">
        <v>1029</v>
      </c>
      <c r="J301" t="s">
        <v>1030</v>
      </c>
      <c r="K301" t="s">
        <v>1072</v>
      </c>
      <c r="L301">
        <v>0</v>
      </c>
      <c r="M301">
        <v>648</v>
      </c>
      <c r="N301">
        <v>6000</v>
      </c>
      <c r="Q301" t="s">
        <v>1073</v>
      </c>
      <c r="S301" t="s">
        <v>2525</v>
      </c>
      <c r="T301" t="s">
        <v>3070</v>
      </c>
      <c r="W301" t="s">
        <v>1074</v>
      </c>
      <c r="Y301" t="s">
        <v>30</v>
      </c>
      <c r="Z301" t="s">
        <v>30</v>
      </c>
      <c r="AA301" t="s">
        <v>30</v>
      </c>
    </row>
    <row r="302" spans="1:27" x14ac:dyDescent="0.3">
      <c r="A302" t="s">
        <v>1075</v>
      </c>
      <c r="B302" s="8">
        <v>46282.623217592591</v>
      </c>
      <c r="C302" t="s">
        <v>2</v>
      </c>
      <c r="D302" t="s">
        <v>469</v>
      </c>
      <c r="E302" t="s">
        <v>1043</v>
      </c>
      <c r="F302" t="s">
        <v>3071</v>
      </c>
      <c r="G302" t="s">
        <v>468</v>
      </c>
      <c r="H302" t="s">
        <v>1028</v>
      </c>
      <c r="I302" t="s">
        <v>1029</v>
      </c>
      <c r="J302" t="s">
        <v>1030</v>
      </c>
      <c r="K302" t="s">
        <v>1042</v>
      </c>
      <c r="L302">
        <v>0</v>
      </c>
      <c r="M302">
        <v>926</v>
      </c>
      <c r="N302">
        <v>8000</v>
      </c>
      <c r="O302">
        <v>30.838028000000001</v>
      </c>
      <c r="P302">
        <v>35.636443999999997</v>
      </c>
      <c r="Q302" t="s">
        <v>1076</v>
      </c>
      <c r="S302" t="s">
        <v>2525</v>
      </c>
      <c r="T302" t="s">
        <v>3072</v>
      </c>
      <c r="U302" t="s">
        <v>3073</v>
      </c>
      <c r="W302" t="s">
        <v>1077</v>
      </c>
      <c r="Y302" t="s">
        <v>30</v>
      </c>
      <c r="Z302" t="s">
        <v>30</v>
      </c>
      <c r="AA302" t="str">
        <f>IF(NOT("https://maps.app.goo.gl/DTJbF2G5AkCBaap36" = ""), HYPERLINK("https://maps.app.goo.gl/DTJbF2G5AkCBaap36", "موقع"), "")</f>
        <v>موقع</v>
      </c>
    </row>
    <row r="303" spans="1:27" x14ac:dyDescent="0.3">
      <c r="A303" t="s">
        <v>1078</v>
      </c>
      <c r="B303" s="8">
        <v>46282.623217592591</v>
      </c>
      <c r="C303" t="s">
        <v>2</v>
      </c>
      <c r="D303" t="s">
        <v>469</v>
      </c>
      <c r="E303" t="s">
        <v>1079</v>
      </c>
      <c r="F303" t="s">
        <v>3074</v>
      </c>
      <c r="G303" t="s">
        <v>468</v>
      </c>
      <c r="H303" t="s">
        <v>1028</v>
      </c>
      <c r="I303" t="s">
        <v>1029</v>
      </c>
      <c r="J303" t="s">
        <v>1030</v>
      </c>
      <c r="K303" t="s">
        <v>1050</v>
      </c>
      <c r="L303">
        <v>0</v>
      </c>
      <c r="M303">
        <v>383</v>
      </c>
      <c r="N303">
        <v>11000</v>
      </c>
      <c r="O303">
        <v>30.851555999999999</v>
      </c>
      <c r="P303">
        <v>35.611832999999997</v>
      </c>
      <c r="Q303" t="s">
        <v>1080</v>
      </c>
      <c r="S303" t="s">
        <v>2525</v>
      </c>
      <c r="T303" t="s">
        <v>3075</v>
      </c>
      <c r="U303" t="s">
        <v>3076</v>
      </c>
      <c r="W303" t="s">
        <v>1081</v>
      </c>
      <c r="Y303" t="s">
        <v>30</v>
      </c>
      <c r="Z303" t="s">
        <v>30</v>
      </c>
      <c r="AA303" t="str">
        <f>IF(NOT("https://maps.app.goo.gl/KRB3rzP3aWv4DZrw9" = ""), HYPERLINK("https://maps.app.goo.gl/KRB3rzP3aWv4DZrw9", "موقع"), "")</f>
        <v>موقع</v>
      </c>
    </row>
    <row r="304" spans="1:27" x14ac:dyDescent="0.3">
      <c r="A304" t="s">
        <v>1082</v>
      </c>
      <c r="B304" s="8">
        <v>46282.623217592591</v>
      </c>
      <c r="C304" t="s">
        <v>2</v>
      </c>
      <c r="D304" t="s">
        <v>469</v>
      </c>
      <c r="E304" t="s">
        <v>345</v>
      </c>
      <c r="F304" t="s">
        <v>3077</v>
      </c>
      <c r="G304" t="s">
        <v>468</v>
      </c>
      <c r="H304" t="s">
        <v>1028</v>
      </c>
      <c r="I304" t="s">
        <v>1029</v>
      </c>
      <c r="J304" t="s">
        <v>1030</v>
      </c>
      <c r="K304" t="s">
        <v>1083</v>
      </c>
      <c r="L304">
        <v>0</v>
      </c>
      <c r="M304">
        <v>8</v>
      </c>
      <c r="N304">
        <v>12000</v>
      </c>
      <c r="O304">
        <v>30.778721999999998</v>
      </c>
      <c r="P304">
        <v>35.745722000000001</v>
      </c>
      <c r="Q304" t="s">
        <v>1084</v>
      </c>
      <c r="S304" t="s">
        <v>2525</v>
      </c>
      <c r="U304" t="s">
        <v>3078</v>
      </c>
      <c r="W304" t="s">
        <v>1085</v>
      </c>
      <c r="Y304" t="s">
        <v>30</v>
      </c>
      <c r="Z304" t="s">
        <v>30</v>
      </c>
      <c r="AA304" t="str">
        <f>IF(NOT("https://maps.app.goo.gl/MB26VjWss3DaSAVd7" = ""), HYPERLINK("https://maps.app.goo.gl/MB26VjWss3DaSAVd7", "موقع"), "")</f>
        <v>موقع</v>
      </c>
    </row>
    <row r="305" spans="1:27" x14ac:dyDescent="0.3">
      <c r="A305" t="s">
        <v>1086</v>
      </c>
      <c r="B305" s="8">
        <v>46282.623217592591</v>
      </c>
      <c r="C305" t="s">
        <v>2</v>
      </c>
      <c r="D305" t="s">
        <v>469</v>
      </c>
      <c r="E305" t="s">
        <v>1088</v>
      </c>
      <c r="F305" t="s">
        <v>3079</v>
      </c>
      <c r="G305" t="s">
        <v>468</v>
      </c>
      <c r="H305" t="s">
        <v>1028</v>
      </c>
      <c r="I305" t="s">
        <v>1029</v>
      </c>
      <c r="J305" t="s">
        <v>1030</v>
      </c>
      <c r="K305" t="s">
        <v>1087</v>
      </c>
      <c r="L305">
        <v>0</v>
      </c>
      <c r="M305">
        <v>11</v>
      </c>
      <c r="N305">
        <v>15000</v>
      </c>
      <c r="O305">
        <v>30.842193999999999</v>
      </c>
      <c r="P305">
        <v>35.598166999999997</v>
      </c>
      <c r="Q305" t="s">
        <v>1089</v>
      </c>
      <c r="S305" t="s">
        <v>2525</v>
      </c>
      <c r="T305" t="s">
        <v>3080</v>
      </c>
      <c r="U305" t="s">
        <v>3081</v>
      </c>
      <c r="W305" t="s">
        <v>1090</v>
      </c>
      <c r="Y305" t="s">
        <v>30</v>
      </c>
      <c r="Z305" t="s">
        <v>30</v>
      </c>
      <c r="AA305" t="str">
        <f>IF(NOT("https://maps.app.goo.gl/kKmnpxAguuxxMbsAA" = ""), HYPERLINK("https://maps.app.goo.gl/kKmnpxAguuxxMbsAA", "موقع"), "")</f>
        <v>موقع</v>
      </c>
    </row>
    <row r="306" spans="1:27" x14ac:dyDescent="0.3">
      <c r="A306" t="s">
        <v>1091</v>
      </c>
      <c r="B306" s="8">
        <v>46282.623217592591</v>
      </c>
      <c r="C306" t="s">
        <v>2</v>
      </c>
      <c r="D306" t="s">
        <v>469</v>
      </c>
      <c r="E306" t="s">
        <v>345</v>
      </c>
      <c r="F306" t="s">
        <v>3082</v>
      </c>
      <c r="G306" t="s">
        <v>468</v>
      </c>
      <c r="H306" t="s">
        <v>1028</v>
      </c>
      <c r="I306" t="s">
        <v>1029</v>
      </c>
      <c r="J306" t="s">
        <v>1030</v>
      </c>
      <c r="K306" t="s">
        <v>1092</v>
      </c>
      <c r="L306">
        <v>0</v>
      </c>
      <c r="M306">
        <v>19</v>
      </c>
      <c r="N306">
        <v>17000</v>
      </c>
      <c r="O306">
        <v>30.813889</v>
      </c>
      <c r="P306">
        <v>35.602027999999997</v>
      </c>
      <c r="Q306" t="s">
        <v>1093</v>
      </c>
      <c r="S306" t="s">
        <v>2525</v>
      </c>
      <c r="T306" t="s">
        <v>3083</v>
      </c>
      <c r="U306" t="s">
        <v>3084</v>
      </c>
      <c r="W306" t="s">
        <v>1094</v>
      </c>
      <c r="Y306" t="s">
        <v>30</v>
      </c>
      <c r="Z306" t="s">
        <v>30</v>
      </c>
      <c r="AA306" t="str">
        <f>IF(NOT("https://maps.app.goo.gl/bbntg53bmAVeQbJK7" = ""), HYPERLINK("https://maps.app.goo.gl/bbntg53bmAVeQbJK7", "موقع"), "")</f>
        <v>موقع</v>
      </c>
    </row>
    <row r="307" spans="1:27" x14ac:dyDescent="0.3">
      <c r="A307" t="s">
        <v>1095</v>
      </c>
      <c r="B307" s="8">
        <v>46282.623217592591</v>
      </c>
      <c r="C307" t="s">
        <v>2</v>
      </c>
      <c r="D307" t="s">
        <v>469</v>
      </c>
      <c r="E307" t="s">
        <v>345</v>
      </c>
      <c r="F307" t="s">
        <v>3085</v>
      </c>
      <c r="G307" t="s">
        <v>468</v>
      </c>
      <c r="H307" t="s">
        <v>1028</v>
      </c>
      <c r="I307" t="s">
        <v>1029</v>
      </c>
      <c r="J307" t="s">
        <v>1030</v>
      </c>
      <c r="K307" t="s">
        <v>1047</v>
      </c>
      <c r="L307">
        <v>0</v>
      </c>
      <c r="M307">
        <v>165</v>
      </c>
      <c r="N307">
        <v>35000</v>
      </c>
      <c r="O307">
        <v>30.886972</v>
      </c>
      <c r="P307">
        <v>35.677750000000003</v>
      </c>
      <c r="Q307" t="s">
        <v>1096</v>
      </c>
      <c r="S307" t="s">
        <v>2525</v>
      </c>
      <c r="T307" t="s">
        <v>3086</v>
      </c>
      <c r="U307" t="s">
        <v>3087</v>
      </c>
      <c r="W307" t="s">
        <v>1097</v>
      </c>
      <c r="Y307" t="s">
        <v>30</v>
      </c>
      <c r="Z307" t="s">
        <v>30</v>
      </c>
      <c r="AA307" t="str">
        <f>IF(NOT("https://maps.app.goo.gl/6YUJcyfF31sEYAWM8" = ""), HYPERLINK("https://maps.app.goo.gl/6YUJcyfF31sEYAWM8", "موقع"), "")</f>
        <v>موقع</v>
      </c>
    </row>
    <row r="308" spans="1:27" x14ac:dyDescent="0.3">
      <c r="A308" t="s">
        <v>1098</v>
      </c>
      <c r="B308" s="8">
        <v>46282.623217592591</v>
      </c>
      <c r="C308" t="s">
        <v>2</v>
      </c>
      <c r="D308" t="s">
        <v>1099</v>
      </c>
      <c r="E308" t="s">
        <v>1104</v>
      </c>
      <c r="F308" t="s">
        <v>3088</v>
      </c>
      <c r="G308" t="s">
        <v>21</v>
      </c>
      <c r="H308" t="s">
        <v>1100</v>
      </c>
      <c r="I308" t="s">
        <v>1101</v>
      </c>
      <c r="J308" t="s">
        <v>1102</v>
      </c>
      <c r="K308" t="s">
        <v>1103</v>
      </c>
      <c r="L308">
        <v>-1027</v>
      </c>
      <c r="M308">
        <v>1580</v>
      </c>
      <c r="N308">
        <v>8000</v>
      </c>
      <c r="O308">
        <v>31.968</v>
      </c>
      <c r="P308">
        <v>35.916333000000002</v>
      </c>
      <c r="Q308" t="s">
        <v>1105</v>
      </c>
      <c r="S308" t="s">
        <v>2525</v>
      </c>
      <c r="U308" t="s">
        <v>3089</v>
      </c>
      <c r="V308" t="s">
        <v>33</v>
      </c>
      <c r="W308" t="s">
        <v>1106</v>
      </c>
      <c r="Y308" t="s">
        <v>30</v>
      </c>
      <c r="Z308" t="s">
        <v>30</v>
      </c>
      <c r="AA308" t="str">
        <f>IF(NOT("https://maps.app.goo.gl/GNPJvfncnCM8V7ZDA" = ""), HYPERLINK("https://maps.app.goo.gl/GNPJvfncnCM8V7ZDA", "موقع"), "")</f>
        <v>موقع</v>
      </c>
    </row>
    <row r="309" spans="1:27" x14ac:dyDescent="0.3">
      <c r="A309" t="s">
        <v>1107</v>
      </c>
      <c r="B309" s="8">
        <v>46282.623217592591</v>
      </c>
      <c r="C309" t="s">
        <v>2</v>
      </c>
      <c r="D309" t="s">
        <v>1099</v>
      </c>
      <c r="E309" t="s">
        <v>1104</v>
      </c>
      <c r="F309" t="s">
        <v>3090</v>
      </c>
      <c r="G309" t="s">
        <v>21</v>
      </c>
      <c r="H309" t="s">
        <v>1100</v>
      </c>
      <c r="I309" t="s">
        <v>1101</v>
      </c>
      <c r="J309" t="s">
        <v>1102</v>
      </c>
      <c r="K309" t="s">
        <v>1103</v>
      </c>
      <c r="L309">
        <v>-1020</v>
      </c>
      <c r="M309">
        <v>1580</v>
      </c>
      <c r="N309">
        <v>21000</v>
      </c>
      <c r="O309">
        <v>31.968</v>
      </c>
      <c r="P309">
        <v>35.916333000000002</v>
      </c>
      <c r="Q309" t="s">
        <v>1108</v>
      </c>
      <c r="S309" t="s">
        <v>2525</v>
      </c>
      <c r="U309" t="s">
        <v>3089</v>
      </c>
      <c r="V309" t="s">
        <v>33</v>
      </c>
      <c r="W309" t="s">
        <v>1109</v>
      </c>
      <c r="Y309" t="s">
        <v>30</v>
      </c>
      <c r="Z309" t="s">
        <v>30</v>
      </c>
      <c r="AA309" t="str">
        <f>IF(NOT("https://maps.app.goo.gl/GNPJvfncnCM8V7ZDA" = ""), HYPERLINK("https://maps.app.goo.gl/GNPJvfncnCM8V7ZDA", "موقع"), "")</f>
        <v>موقع</v>
      </c>
    </row>
    <row r="310" spans="1:27" x14ac:dyDescent="0.3">
      <c r="A310" t="s">
        <v>1110</v>
      </c>
      <c r="B310" s="8">
        <v>46282.623217592591</v>
      </c>
      <c r="C310" t="s">
        <v>2</v>
      </c>
      <c r="D310" t="s">
        <v>1099</v>
      </c>
      <c r="E310" t="s">
        <v>1104</v>
      </c>
      <c r="F310" t="s">
        <v>3091</v>
      </c>
      <c r="G310" t="s">
        <v>21</v>
      </c>
      <c r="H310" t="s">
        <v>1100</v>
      </c>
      <c r="I310" t="s">
        <v>1101</v>
      </c>
      <c r="J310" t="s">
        <v>1102</v>
      </c>
      <c r="K310" t="s">
        <v>1103</v>
      </c>
      <c r="L310">
        <v>-1021</v>
      </c>
      <c r="M310">
        <v>1580</v>
      </c>
      <c r="N310">
        <v>23000</v>
      </c>
      <c r="O310">
        <v>31.968</v>
      </c>
      <c r="P310">
        <v>35.916333000000002</v>
      </c>
      <c r="Q310" t="s">
        <v>1111</v>
      </c>
      <c r="S310" t="s">
        <v>2525</v>
      </c>
      <c r="U310" t="s">
        <v>3092</v>
      </c>
      <c r="V310" t="s">
        <v>33</v>
      </c>
      <c r="W310" t="s">
        <v>1112</v>
      </c>
      <c r="Y310" t="s">
        <v>30</v>
      </c>
      <c r="Z310" t="s">
        <v>30</v>
      </c>
      <c r="AA310" t="str">
        <f>IF(NOT("https://maps.app.goo.gl/PmwE1hpK62FCGpay8" = ""), HYPERLINK("https://maps.app.goo.gl/PmwE1hpK62FCGpay8", "موقع"), "")</f>
        <v>موقع</v>
      </c>
    </row>
    <row r="311" spans="1:27" x14ac:dyDescent="0.3">
      <c r="A311" t="s">
        <v>1113</v>
      </c>
      <c r="B311" s="8">
        <v>46282.623217592591</v>
      </c>
      <c r="C311" t="s">
        <v>2</v>
      </c>
      <c r="D311" t="s">
        <v>1099</v>
      </c>
      <c r="E311" t="s">
        <v>1104</v>
      </c>
      <c r="F311" t="s">
        <v>3093</v>
      </c>
      <c r="G311" t="s">
        <v>21</v>
      </c>
      <c r="H311" t="s">
        <v>1100</v>
      </c>
      <c r="I311" t="s">
        <v>1101</v>
      </c>
      <c r="J311" t="s">
        <v>1102</v>
      </c>
      <c r="K311" t="s">
        <v>1103</v>
      </c>
      <c r="L311">
        <v>-1013</v>
      </c>
      <c r="M311">
        <v>1580</v>
      </c>
      <c r="N311">
        <v>27000</v>
      </c>
      <c r="O311">
        <v>31.968</v>
      </c>
      <c r="P311">
        <v>35.916333000000002</v>
      </c>
      <c r="Q311" t="s">
        <v>1114</v>
      </c>
      <c r="S311" t="s">
        <v>2525</v>
      </c>
      <c r="U311" t="s">
        <v>3089</v>
      </c>
      <c r="V311" t="s">
        <v>33</v>
      </c>
      <c r="W311" t="s">
        <v>1115</v>
      </c>
      <c r="Y311" t="s">
        <v>30</v>
      </c>
      <c r="Z311" t="s">
        <v>30</v>
      </c>
      <c r="AA311" t="str">
        <f>IF(NOT("https://maps.app.goo.gl/GNPJvfncnCM8V7ZDA" = ""), HYPERLINK("https://maps.app.goo.gl/GNPJvfncnCM8V7ZDA", "موقع"), "")</f>
        <v>موقع</v>
      </c>
    </row>
    <row r="312" spans="1:27" x14ac:dyDescent="0.3">
      <c r="A312" t="s">
        <v>1116</v>
      </c>
      <c r="B312" s="8">
        <v>46282.623217592591</v>
      </c>
      <c r="C312" t="s">
        <v>2</v>
      </c>
      <c r="D312" t="s">
        <v>1099</v>
      </c>
      <c r="E312" t="s">
        <v>1104</v>
      </c>
      <c r="F312" t="s">
        <v>3094</v>
      </c>
      <c r="G312" t="s">
        <v>21</v>
      </c>
      <c r="H312" t="s">
        <v>1100</v>
      </c>
      <c r="I312" t="s">
        <v>1101</v>
      </c>
      <c r="J312" t="s">
        <v>1102</v>
      </c>
      <c r="K312" t="s">
        <v>1103</v>
      </c>
      <c r="L312">
        <v>-1012</v>
      </c>
      <c r="M312">
        <v>1580</v>
      </c>
      <c r="N312">
        <v>28000</v>
      </c>
      <c r="O312">
        <v>31.968</v>
      </c>
      <c r="P312">
        <v>35.916333000000002</v>
      </c>
      <c r="Q312" t="s">
        <v>40</v>
      </c>
      <c r="S312" t="s">
        <v>2525</v>
      </c>
      <c r="U312" t="s">
        <v>3089</v>
      </c>
      <c r="V312" t="s">
        <v>33</v>
      </c>
      <c r="W312" t="s">
        <v>1117</v>
      </c>
      <c r="Y312" t="s">
        <v>30</v>
      </c>
      <c r="Z312" t="s">
        <v>30</v>
      </c>
      <c r="AA312" t="str">
        <f>IF(NOT("https://maps.app.goo.gl/GNPJvfncnCM8V7ZDA" = ""), HYPERLINK("https://maps.app.goo.gl/GNPJvfncnCM8V7ZDA", "موقع"), "")</f>
        <v>موقع</v>
      </c>
    </row>
    <row r="313" spans="1:27" x14ac:dyDescent="0.3">
      <c r="A313" t="s">
        <v>1118</v>
      </c>
      <c r="B313" s="8">
        <v>46282.623217592591</v>
      </c>
      <c r="C313" t="s">
        <v>2</v>
      </c>
      <c r="D313" t="s">
        <v>22</v>
      </c>
      <c r="E313" t="s">
        <v>1120</v>
      </c>
      <c r="F313" t="s">
        <v>3095</v>
      </c>
      <c r="G313" t="s">
        <v>21</v>
      </c>
      <c r="H313" t="s">
        <v>1100</v>
      </c>
      <c r="I313" t="s">
        <v>1101</v>
      </c>
      <c r="J313" t="s">
        <v>1102</v>
      </c>
      <c r="K313" t="s">
        <v>1119</v>
      </c>
      <c r="L313">
        <v>103</v>
      </c>
      <c r="M313">
        <v>281</v>
      </c>
      <c r="N313">
        <v>13000</v>
      </c>
      <c r="O313">
        <v>31.937694</v>
      </c>
      <c r="P313">
        <v>35.932721999999998</v>
      </c>
      <c r="Q313" t="s">
        <v>1121</v>
      </c>
      <c r="S313" t="s">
        <v>2525</v>
      </c>
      <c r="U313" t="s">
        <v>3096</v>
      </c>
      <c r="V313" t="s">
        <v>28</v>
      </c>
      <c r="W313" t="s">
        <v>1122</v>
      </c>
      <c r="Y313" t="s">
        <v>30</v>
      </c>
      <c r="Z313" t="s">
        <v>30</v>
      </c>
      <c r="AA313" t="str">
        <f>IF(NOT("https://maps.app.goo.gl/9oqv8F4tu54M7ChF6" = ""), HYPERLINK("https://maps.app.goo.gl/9oqv8F4tu54M7ChF6", "موقع"), "")</f>
        <v>موقع</v>
      </c>
    </row>
    <row r="314" spans="1:27" x14ac:dyDescent="0.3">
      <c r="A314" t="s">
        <v>1123</v>
      </c>
      <c r="B314" s="8">
        <v>46282.623217592591</v>
      </c>
      <c r="C314" t="s">
        <v>2</v>
      </c>
      <c r="D314" t="s">
        <v>22</v>
      </c>
      <c r="E314" t="s">
        <v>1104</v>
      </c>
      <c r="F314" t="s">
        <v>3097</v>
      </c>
      <c r="G314" t="s">
        <v>21</v>
      </c>
      <c r="H314" t="s">
        <v>1100</v>
      </c>
      <c r="I314" t="s">
        <v>1101</v>
      </c>
      <c r="J314" t="s">
        <v>1102</v>
      </c>
      <c r="K314" t="s">
        <v>1103</v>
      </c>
      <c r="L314">
        <v>-1018</v>
      </c>
      <c r="M314">
        <v>1580</v>
      </c>
      <c r="N314">
        <v>22000</v>
      </c>
      <c r="O314">
        <v>31.968</v>
      </c>
      <c r="P314">
        <v>35.916333000000002</v>
      </c>
      <c r="Q314" t="s">
        <v>1108</v>
      </c>
      <c r="S314" t="s">
        <v>2525</v>
      </c>
      <c r="U314" t="s">
        <v>3089</v>
      </c>
      <c r="V314" t="s">
        <v>33</v>
      </c>
      <c r="W314" t="s">
        <v>1124</v>
      </c>
      <c r="Y314" t="s">
        <v>30</v>
      </c>
      <c r="Z314" t="s">
        <v>30</v>
      </c>
      <c r="AA314" t="str">
        <f>IF(NOT("https://maps.app.goo.gl/GNPJvfncnCM8V7ZDA" = ""), HYPERLINK("https://maps.app.goo.gl/GNPJvfncnCM8V7ZDA", "موقع"), "")</f>
        <v>موقع</v>
      </c>
    </row>
    <row r="315" spans="1:27" x14ac:dyDescent="0.3">
      <c r="A315" t="s">
        <v>1125</v>
      </c>
      <c r="B315" s="8">
        <v>46282.623217592591</v>
      </c>
      <c r="C315" t="s">
        <v>2</v>
      </c>
      <c r="D315" t="s">
        <v>22</v>
      </c>
      <c r="E315" t="s">
        <v>1104</v>
      </c>
      <c r="F315" t="s">
        <v>3098</v>
      </c>
      <c r="G315" t="s">
        <v>21</v>
      </c>
      <c r="H315" t="s">
        <v>1100</v>
      </c>
      <c r="I315" t="s">
        <v>1101</v>
      </c>
      <c r="J315" t="s">
        <v>1102</v>
      </c>
      <c r="K315" t="s">
        <v>1103</v>
      </c>
      <c r="L315">
        <v>-1019</v>
      </c>
      <c r="M315">
        <v>1580</v>
      </c>
      <c r="N315">
        <v>22000</v>
      </c>
      <c r="O315">
        <v>31.968</v>
      </c>
      <c r="P315">
        <v>35.916333000000002</v>
      </c>
      <c r="Q315" t="s">
        <v>1108</v>
      </c>
      <c r="S315" t="s">
        <v>2525</v>
      </c>
      <c r="U315" t="s">
        <v>3089</v>
      </c>
      <c r="V315" t="s">
        <v>33</v>
      </c>
      <c r="W315" t="s">
        <v>1126</v>
      </c>
      <c r="Y315" t="s">
        <v>30</v>
      </c>
      <c r="Z315" t="s">
        <v>30</v>
      </c>
      <c r="AA315" t="str">
        <f>IF(NOT("https://maps.app.goo.gl/GNPJvfncnCM8V7ZDA" = ""), HYPERLINK("https://maps.app.goo.gl/GNPJvfncnCM8V7ZDA", "موقع"), "")</f>
        <v>موقع</v>
      </c>
    </row>
    <row r="316" spans="1:27" x14ac:dyDescent="0.3">
      <c r="A316" t="s">
        <v>1127</v>
      </c>
      <c r="B316" s="8">
        <v>46282.623217592591</v>
      </c>
      <c r="C316" t="s">
        <v>2</v>
      </c>
      <c r="D316" t="s">
        <v>22</v>
      </c>
      <c r="E316" t="s">
        <v>1104</v>
      </c>
      <c r="F316" t="s">
        <v>3099</v>
      </c>
      <c r="G316" t="s">
        <v>21</v>
      </c>
      <c r="H316" t="s">
        <v>1100</v>
      </c>
      <c r="I316" t="s">
        <v>1101</v>
      </c>
      <c r="J316" t="s">
        <v>1102</v>
      </c>
      <c r="K316" t="s">
        <v>1103</v>
      </c>
      <c r="L316">
        <v>-1022</v>
      </c>
      <c r="M316">
        <v>1580</v>
      </c>
      <c r="N316">
        <v>24000</v>
      </c>
      <c r="O316">
        <v>31.968</v>
      </c>
      <c r="P316">
        <v>35.916333000000002</v>
      </c>
      <c r="Q316" t="s">
        <v>1128</v>
      </c>
      <c r="S316" t="s">
        <v>2525</v>
      </c>
      <c r="U316" t="s">
        <v>3092</v>
      </c>
      <c r="V316" t="s">
        <v>33</v>
      </c>
      <c r="W316" t="s">
        <v>1129</v>
      </c>
      <c r="Y316" t="s">
        <v>30</v>
      </c>
      <c r="Z316" t="s">
        <v>30</v>
      </c>
      <c r="AA316" t="str">
        <f>IF(NOT("https://maps.app.goo.gl/PmwE1hpK62FCGpay8" = ""), HYPERLINK("https://maps.app.goo.gl/PmwE1hpK62FCGpay8", "موقع"), "")</f>
        <v>موقع</v>
      </c>
    </row>
    <row r="317" spans="1:27" x14ac:dyDescent="0.3">
      <c r="A317" t="s">
        <v>1130</v>
      </c>
      <c r="B317" s="8">
        <v>46282.623217592591</v>
      </c>
      <c r="C317" t="s">
        <v>2</v>
      </c>
      <c r="D317" t="s">
        <v>22</v>
      </c>
      <c r="E317" t="s">
        <v>1104</v>
      </c>
      <c r="F317" t="s">
        <v>3100</v>
      </c>
      <c r="G317" t="s">
        <v>21</v>
      </c>
      <c r="H317" t="s">
        <v>1100</v>
      </c>
      <c r="I317" t="s">
        <v>1101</v>
      </c>
      <c r="J317" t="s">
        <v>1102</v>
      </c>
      <c r="K317" t="s">
        <v>1103</v>
      </c>
      <c r="L317">
        <v>-109</v>
      </c>
      <c r="M317">
        <v>1580</v>
      </c>
      <c r="N317">
        <v>26000</v>
      </c>
      <c r="O317">
        <v>31.968</v>
      </c>
      <c r="P317">
        <v>35.916333000000002</v>
      </c>
      <c r="Q317" t="s">
        <v>1131</v>
      </c>
      <c r="S317" t="s">
        <v>2525</v>
      </c>
      <c r="U317" t="s">
        <v>3089</v>
      </c>
      <c r="V317" t="s">
        <v>33</v>
      </c>
      <c r="W317" t="s">
        <v>1132</v>
      </c>
      <c r="Y317" t="s">
        <v>30</v>
      </c>
      <c r="Z317" t="s">
        <v>30</v>
      </c>
      <c r="AA317" t="str">
        <f>IF(NOT("https://maps.app.goo.gl/GNPJvfncnCM8V7ZDA" = ""), HYPERLINK("https://maps.app.goo.gl/GNPJvfncnCM8V7ZDA", "موقع"), "")</f>
        <v>موقع</v>
      </c>
    </row>
    <row r="318" spans="1:27" x14ac:dyDescent="0.3">
      <c r="A318" t="s">
        <v>1133</v>
      </c>
      <c r="B318" s="8">
        <v>46282.623217592591</v>
      </c>
      <c r="C318" t="s">
        <v>2</v>
      </c>
      <c r="D318" t="s">
        <v>22</v>
      </c>
      <c r="E318" t="s">
        <v>1104</v>
      </c>
      <c r="F318" t="s">
        <v>3101</v>
      </c>
      <c r="G318" t="s">
        <v>21</v>
      </c>
      <c r="H318" t="s">
        <v>1100</v>
      </c>
      <c r="I318" t="s">
        <v>1101</v>
      </c>
      <c r="J318" t="s">
        <v>1102</v>
      </c>
      <c r="K318" t="s">
        <v>1103</v>
      </c>
      <c r="L318">
        <v>-1010</v>
      </c>
      <c r="M318">
        <v>1580</v>
      </c>
      <c r="N318">
        <v>26000</v>
      </c>
      <c r="O318">
        <v>31.968</v>
      </c>
      <c r="P318">
        <v>35.916333000000002</v>
      </c>
      <c r="Q318" t="s">
        <v>1131</v>
      </c>
      <c r="S318" t="s">
        <v>2525</v>
      </c>
      <c r="U318" t="s">
        <v>3089</v>
      </c>
      <c r="V318" t="s">
        <v>33</v>
      </c>
      <c r="W318" t="s">
        <v>1134</v>
      </c>
      <c r="Y318" t="s">
        <v>30</v>
      </c>
      <c r="Z318" t="s">
        <v>30</v>
      </c>
      <c r="AA318" t="str">
        <f>IF(NOT("https://maps.app.goo.gl/GNPJvfncnCM8V7ZDA" = ""), HYPERLINK("https://maps.app.goo.gl/GNPJvfncnCM8V7ZDA", "موقع"), "")</f>
        <v>موقع</v>
      </c>
    </row>
    <row r="319" spans="1:27" x14ac:dyDescent="0.3">
      <c r="A319" t="s">
        <v>1135</v>
      </c>
      <c r="B319" s="8">
        <v>46282.623217592591</v>
      </c>
      <c r="C319" t="s">
        <v>2</v>
      </c>
      <c r="D319" t="s">
        <v>22</v>
      </c>
      <c r="E319" t="s">
        <v>1104</v>
      </c>
      <c r="F319" t="s">
        <v>3102</v>
      </c>
      <c r="G319" t="s">
        <v>21</v>
      </c>
      <c r="H319" t="s">
        <v>1100</v>
      </c>
      <c r="I319" t="s">
        <v>1101</v>
      </c>
      <c r="J319" t="s">
        <v>1102</v>
      </c>
      <c r="K319" t="s">
        <v>1103</v>
      </c>
      <c r="L319">
        <v>-1011</v>
      </c>
      <c r="M319">
        <v>1580</v>
      </c>
      <c r="N319">
        <v>29000</v>
      </c>
      <c r="O319">
        <v>31.968</v>
      </c>
      <c r="P319">
        <v>35.916333000000002</v>
      </c>
      <c r="Q319" t="s">
        <v>40</v>
      </c>
      <c r="S319" t="s">
        <v>2525</v>
      </c>
      <c r="U319" t="s">
        <v>3089</v>
      </c>
      <c r="V319" t="s">
        <v>33</v>
      </c>
      <c r="W319" t="s">
        <v>1136</v>
      </c>
      <c r="Y319" t="s">
        <v>30</v>
      </c>
      <c r="Z319" t="s">
        <v>30</v>
      </c>
      <c r="AA319" t="str">
        <f>IF(NOT("https://maps.app.goo.gl/GNPJvfncnCM8V7ZDA" = ""), HYPERLINK("https://maps.app.goo.gl/GNPJvfncnCM8V7ZDA", "موقع"), "")</f>
        <v>موقع</v>
      </c>
    </row>
    <row r="320" spans="1:27" x14ac:dyDescent="0.3">
      <c r="A320" t="s">
        <v>1137</v>
      </c>
      <c r="B320" s="8">
        <v>46282.623217592591</v>
      </c>
      <c r="C320" t="s">
        <v>2</v>
      </c>
      <c r="D320" t="s">
        <v>50</v>
      </c>
      <c r="E320" t="s">
        <v>1139</v>
      </c>
      <c r="F320" t="s">
        <v>3103</v>
      </c>
      <c r="G320" t="s">
        <v>21</v>
      </c>
      <c r="H320" t="s">
        <v>1100</v>
      </c>
      <c r="I320" t="s">
        <v>1101</v>
      </c>
      <c r="J320" t="s">
        <v>1102</v>
      </c>
      <c r="K320" t="s">
        <v>1138</v>
      </c>
      <c r="L320">
        <v>121</v>
      </c>
      <c r="M320">
        <v>234</v>
      </c>
      <c r="N320">
        <v>124000</v>
      </c>
      <c r="O320">
        <v>31.941972</v>
      </c>
      <c r="P320">
        <v>35.892721999999999</v>
      </c>
      <c r="Q320" t="s">
        <v>1140</v>
      </c>
      <c r="R320" t="s">
        <v>3104</v>
      </c>
      <c r="S320" t="s">
        <v>2579</v>
      </c>
      <c r="U320" t="s">
        <v>3105</v>
      </c>
      <c r="V320" t="s">
        <v>73</v>
      </c>
      <c r="W320" t="s">
        <v>1141</v>
      </c>
      <c r="X320" t="s">
        <v>3106</v>
      </c>
      <c r="Y320" t="str">
        <f>IF(NOT("https://youtu.be/sWKfBmYY4cQ" = ""), HYPERLINK("https://youtu.be/sWKfBmYY4cQ", "فيديو"), "")</f>
        <v>فيديو</v>
      </c>
      <c r="Z320" t="str">
        <f>IF(NOT("https://truemarkets3d.net/3d-virtual-tour/housingbank-realestate/phase3/aq-re-100385/index.html" = ""), HYPERLINK("https://truemarkets3d.net/3d-virtual-tour/housingbank-realestate/phase3/aq-re-100385/index.html", "جولة"), "")</f>
        <v>جولة</v>
      </c>
      <c r="AA320" t="str">
        <f>IF(NOT("https://maps.app.goo.gl/3HcoYjFkhR7F6YYX6" = ""), HYPERLINK("https://maps.app.goo.gl/3HcoYjFkhR7F6YYX6", "موقع"), "")</f>
        <v>موقع</v>
      </c>
    </row>
    <row r="321" spans="1:27" x14ac:dyDescent="0.3">
      <c r="A321" t="s">
        <v>1142</v>
      </c>
      <c r="B321" s="8">
        <v>46282.623217592591</v>
      </c>
      <c r="C321" t="s">
        <v>2</v>
      </c>
      <c r="D321" t="s">
        <v>50</v>
      </c>
      <c r="E321" t="s">
        <v>1146</v>
      </c>
      <c r="F321" t="s">
        <v>3107</v>
      </c>
      <c r="G321" t="s">
        <v>21</v>
      </c>
      <c r="H321" t="s">
        <v>1100</v>
      </c>
      <c r="I321" t="s">
        <v>1143</v>
      </c>
      <c r="J321" t="s">
        <v>1144</v>
      </c>
      <c r="K321" t="s">
        <v>1145</v>
      </c>
      <c r="L321">
        <v>131</v>
      </c>
      <c r="M321">
        <v>1996</v>
      </c>
      <c r="O321">
        <v>31.864806000000002</v>
      </c>
      <c r="P321">
        <v>35.980417000000003</v>
      </c>
      <c r="Q321" t="s">
        <v>1147</v>
      </c>
      <c r="S321" t="s">
        <v>2525</v>
      </c>
      <c r="U321" t="s">
        <v>3108</v>
      </c>
      <c r="V321" t="s">
        <v>55</v>
      </c>
      <c r="Y321" t="s">
        <v>30</v>
      </c>
      <c r="Z321" t="s">
        <v>30</v>
      </c>
      <c r="AA321" t="str">
        <f>IF(NOT("https://maps.app.goo.gl/yoJstemVa57UnKVq6" = ""), HYPERLINK("https://maps.app.goo.gl/yoJstemVa57UnKVq6", "موقع"), "")</f>
        <v>موقع</v>
      </c>
    </row>
    <row r="322" spans="1:27" x14ac:dyDescent="0.3">
      <c r="A322" t="s">
        <v>1148</v>
      </c>
      <c r="B322" s="8">
        <v>46282.623217592591</v>
      </c>
      <c r="C322" t="s">
        <v>2</v>
      </c>
      <c r="D322" t="s">
        <v>50</v>
      </c>
      <c r="E322" t="s">
        <v>1146</v>
      </c>
      <c r="F322" t="s">
        <v>3109</v>
      </c>
      <c r="G322" t="s">
        <v>21</v>
      </c>
      <c r="H322" t="s">
        <v>1100</v>
      </c>
      <c r="I322" t="s">
        <v>1143</v>
      </c>
      <c r="J322" t="s">
        <v>1144</v>
      </c>
      <c r="K322" t="s">
        <v>1145</v>
      </c>
      <c r="L322">
        <v>132</v>
      </c>
      <c r="M322">
        <v>1996</v>
      </c>
      <c r="O322">
        <v>31.864806000000002</v>
      </c>
      <c r="P322">
        <v>35.980417000000003</v>
      </c>
      <c r="Q322" t="s">
        <v>1149</v>
      </c>
      <c r="S322" t="s">
        <v>2525</v>
      </c>
      <c r="U322" t="s">
        <v>3108</v>
      </c>
      <c r="V322" t="s">
        <v>55</v>
      </c>
      <c r="Y322" t="s">
        <v>30</v>
      </c>
      <c r="Z322" t="s">
        <v>30</v>
      </c>
      <c r="AA322" t="str">
        <f>IF(NOT("https://maps.app.goo.gl/yoJstemVa57UnKVq6" = ""), HYPERLINK("https://maps.app.goo.gl/yoJstemVa57UnKVq6", "موقع"), "")</f>
        <v>موقع</v>
      </c>
    </row>
    <row r="323" spans="1:27" x14ac:dyDescent="0.3">
      <c r="A323" t="s">
        <v>1150</v>
      </c>
      <c r="B323" s="8">
        <v>46282.623217592591</v>
      </c>
      <c r="C323" t="s">
        <v>2</v>
      </c>
      <c r="D323" t="s">
        <v>50</v>
      </c>
      <c r="E323" t="s">
        <v>1146</v>
      </c>
      <c r="F323" t="s">
        <v>3110</v>
      </c>
      <c r="G323" t="s">
        <v>21</v>
      </c>
      <c r="H323" t="s">
        <v>1100</v>
      </c>
      <c r="I323" t="s">
        <v>1143</v>
      </c>
      <c r="J323" t="s">
        <v>1144</v>
      </c>
      <c r="K323" t="s">
        <v>1145</v>
      </c>
      <c r="L323">
        <v>133</v>
      </c>
      <c r="M323">
        <v>1996</v>
      </c>
      <c r="O323">
        <v>31.864806000000002</v>
      </c>
      <c r="P323">
        <v>35.980417000000003</v>
      </c>
      <c r="Q323" t="s">
        <v>1151</v>
      </c>
      <c r="S323" t="s">
        <v>2525</v>
      </c>
      <c r="U323" t="s">
        <v>3108</v>
      </c>
      <c r="V323" t="s">
        <v>55</v>
      </c>
      <c r="Y323" t="s">
        <v>30</v>
      </c>
      <c r="Z323" t="s">
        <v>30</v>
      </c>
      <c r="AA323" t="str">
        <f>IF(NOT("https://maps.app.goo.gl/yoJstemVa57UnKVq6" = ""), HYPERLINK("https://maps.app.goo.gl/yoJstemVa57UnKVq6", "موقع"), "")</f>
        <v>موقع</v>
      </c>
    </row>
    <row r="324" spans="1:27" x14ac:dyDescent="0.3">
      <c r="A324" t="s">
        <v>1152</v>
      </c>
      <c r="B324" s="8">
        <v>46282.623217592591</v>
      </c>
      <c r="C324" t="s">
        <v>2</v>
      </c>
      <c r="D324" t="s">
        <v>59</v>
      </c>
      <c r="E324" t="s">
        <v>1155</v>
      </c>
      <c r="F324" t="s">
        <v>3111</v>
      </c>
      <c r="G324" t="s">
        <v>21</v>
      </c>
      <c r="H324" t="s">
        <v>1100</v>
      </c>
      <c r="I324" t="s">
        <v>1143</v>
      </c>
      <c r="J324" t="s">
        <v>1153</v>
      </c>
      <c r="K324" t="s">
        <v>1154</v>
      </c>
      <c r="L324">
        <v>121</v>
      </c>
      <c r="M324">
        <v>1532</v>
      </c>
      <c r="N324">
        <v>8000</v>
      </c>
      <c r="O324">
        <v>31.921361000000001</v>
      </c>
      <c r="P324">
        <v>35.951777999999997</v>
      </c>
      <c r="Q324" t="s">
        <v>1156</v>
      </c>
      <c r="S324" t="s">
        <v>2525</v>
      </c>
      <c r="U324" t="s">
        <v>3112</v>
      </c>
      <c r="V324" t="s">
        <v>73</v>
      </c>
      <c r="W324" t="s">
        <v>1157</v>
      </c>
      <c r="Y324" t="s">
        <v>30</v>
      </c>
      <c r="Z324" t="s">
        <v>30</v>
      </c>
      <c r="AA324" t="str">
        <f>IF(NOT("https://maps.app.goo.gl/Ju8A5ZVyn289JNpM6" = ""), HYPERLINK("https://maps.app.goo.gl/Ju8A5ZVyn289JNpM6", "موقع"), "")</f>
        <v>موقع</v>
      </c>
    </row>
    <row r="325" spans="1:27" x14ac:dyDescent="0.3">
      <c r="A325" t="s">
        <v>1158</v>
      </c>
      <c r="B325" s="8">
        <v>46282.623217592591</v>
      </c>
      <c r="C325" t="s">
        <v>2</v>
      </c>
      <c r="D325" t="s">
        <v>59</v>
      </c>
      <c r="E325" t="s">
        <v>1155</v>
      </c>
      <c r="F325" t="s">
        <v>3113</v>
      </c>
      <c r="G325" t="s">
        <v>21</v>
      </c>
      <c r="H325" t="s">
        <v>1100</v>
      </c>
      <c r="I325" t="s">
        <v>1143</v>
      </c>
      <c r="J325" t="s">
        <v>1153</v>
      </c>
      <c r="K325" t="s">
        <v>1154</v>
      </c>
      <c r="L325">
        <v>122</v>
      </c>
      <c r="M325">
        <v>1532</v>
      </c>
      <c r="N325">
        <v>13000</v>
      </c>
      <c r="O325">
        <v>31.921361000000001</v>
      </c>
      <c r="P325">
        <v>35.951777999999997</v>
      </c>
      <c r="Q325" t="s">
        <v>1159</v>
      </c>
      <c r="S325" t="s">
        <v>2525</v>
      </c>
      <c r="U325" t="s">
        <v>3114</v>
      </c>
      <c r="V325" t="s">
        <v>43</v>
      </c>
      <c r="W325" t="s">
        <v>1160</v>
      </c>
      <c r="Y325" t="s">
        <v>30</v>
      </c>
      <c r="Z325" t="s">
        <v>30</v>
      </c>
      <c r="AA325" t="str">
        <f>IF(NOT("https://maps.app.goo.gl/6LsgNLXpyWTDtyjo8" = ""), HYPERLINK("https://maps.app.goo.gl/6LsgNLXpyWTDtyjo8", "موقع"), "")</f>
        <v>موقع</v>
      </c>
    </row>
    <row r="326" spans="1:27" x14ac:dyDescent="0.3">
      <c r="A326" t="s">
        <v>1161</v>
      </c>
      <c r="B326" s="8">
        <v>46282.623217592591</v>
      </c>
      <c r="C326" t="s">
        <v>2</v>
      </c>
      <c r="D326" t="s">
        <v>59</v>
      </c>
      <c r="E326" t="s">
        <v>1165</v>
      </c>
      <c r="F326" t="s">
        <v>3115</v>
      </c>
      <c r="G326" t="s">
        <v>21</v>
      </c>
      <c r="H326" t="s">
        <v>1100</v>
      </c>
      <c r="I326" t="s">
        <v>1162</v>
      </c>
      <c r="J326" t="s">
        <v>1163</v>
      </c>
      <c r="K326" t="s">
        <v>1164</v>
      </c>
      <c r="L326">
        <v>-103</v>
      </c>
      <c r="M326">
        <v>960</v>
      </c>
      <c r="N326">
        <v>18000</v>
      </c>
      <c r="O326">
        <v>31.978611000000001</v>
      </c>
      <c r="P326">
        <v>35.979222</v>
      </c>
      <c r="Q326" t="s">
        <v>757</v>
      </c>
      <c r="S326" t="s">
        <v>2525</v>
      </c>
      <c r="U326" t="s">
        <v>3116</v>
      </c>
      <c r="V326" t="s">
        <v>33</v>
      </c>
      <c r="W326" t="s">
        <v>1166</v>
      </c>
      <c r="Y326" t="s">
        <v>30</v>
      </c>
      <c r="Z326" t="s">
        <v>30</v>
      </c>
      <c r="AA326" t="str">
        <f>IF(NOT("https://maps.app.goo.gl/VBweDiHNgF3JENxcA" = ""), HYPERLINK("https://maps.app.goo.gl/VBweDiHNgF3JENxcA", "موقع"), "")</f>
        <v>موقع</v>
      </c>
    </row>
    <row r="327" spans="1:27" x14ac:dyDescent="0.3">
      <c r="A327" t="s">
        <v>1167</v>
      </c>
      <c r="B327" s="8">
        <v>46282.623217592591</v>
      </c>
      <c r="C327" t="s">
        <v>2</v>
      </c>
      <c r="D327" t="s">
        <v>59</v>
      </c>
      <c r="E327" t="s">
        <v>1171</v>
      </c>
      <c r="F327" t="s">
        <v>3117</v>
      </c>
      <c r="G327" t="s">
        <v>21</v>
      </c>
      <c r="H327" t="s">
        <v>1100</v>
      </c>
      <c r="I327" t="s">
        <v>1168</v>
      </c>
      <c r="J327" t="s">
        <v>1169</v>
      </c>
      <c r="K327" t="s">
        <v>1170</v>
      </c>
      <c r="L327">
        <v>104</v>
      </c>
      <c r="M327">
        <v>827</v>
      </c>
      <c r="N327">
        <v>19000</v>
      </c>
      <c r="O327">
        <v>31.843139000000001</v>
      </c>
      <c r="P327">
        <v>35.982917</v>
      </c>
      <c r="Q327" t="s">
        <v>1172</v>
      </c>
      <c r="S327" t="s">
        <v>2525</v>
      </c>
      <c r="U327" t="s">
        <v>3118</v>
      </c>
      <c r="V327" t="s">
        <v>28</v>
      </c>
      <c r="W327" t="s">
        <v>1173</v>
      </c>
      <c r="Y327" t="s">
        <v>30</v>
      </c>
      <c r="Z327" t="s">
        <v>30</v>
      </c>
      <c r="AA327" t="str">
        <f>IF(NOT("https://maps.app.goo.gl/bWeoxqp64j34EsDz9" = ""), HYPERLINK("https://maps.app.goo.gl/bWeoxqp64j34EsDz9", "موقع"), "")</f>
        <v>موقع</v>
      </c>
    </row>
    <row r="328" spans="1:27" x14ac:dyDescent="0.3">
      <c r="A328" t="s">
        <v>1174</v>
      </c>
      <c r="B328" s="8">
        <v>46282.623217592591</v>
      </c>
      <c r="C328" t="s">
        <v>2</v>
      </c>
      <c r="D328" t="s">
        <v>59</v>
      </c>
      <c r="E328" t="s">
        <v>1177</v>
      </c>
      <c r="F328" t="s">
        <v>3119</v>
      </c>
      <c r="G328" t="s">
        <v>21</v>
      </c>
      <c r="H328" t="s">
        <v>1100</v>
      </c>
      <c r="I328" t="s">
        <v>1143</v>
      </c>
      <c r="J328" t="s">
        <v>1175</v>
      </c>
      <c r="K328" t="s">
        <v>1176</v>
      </c>
      <c r="L328">
        <v>-101</v>
      </c>
      <c r="M328">
        <v>257</v>
      </c>
      <c r="N328">
        <v>20000</v>
      </c>
      <c r="O328">
        <v>31.921111</v>
      </c>
      <c r="P328">
        <v>36.009444000000002</v>
      </c>
      <c r="Q328" t="s">
        <v>1178</v>
      </c>
      <c r="R328" t="s">
        <v>3120</v>
      </c>
      <c r="S328" t="s">
        <v>2579</v>
      </c>
      <c r="U328" t="s">
        <v>3121</v>
      </c>
      <c r="V328" t="s">
        <v>28</v>
      </c>
      <c r="W328" t="s">
        <v>1179</v>
      </c>
      <c r="X328" t="s">
        <v>3122</v>
      </c>
      <c r="Y328" t="str">
        <f>IF(NOT("https://youtu.be/ZHZnvxhpPdU" = ""), HYPERLINK("https://youtu.be/ZHZnvxhpPdU", "فيديو"), "")</f>
        <v>فيديو</v>
      </c>
      <c r="Z328" t="str">
        <f>IF(NOT("https://truemarkets3d.net/3d-virtual-tour/housingbank-realestate/phase3/aq-re-100538/index.html" = ""), HYPERLINK("https://truemarkets3d.net/3d-virtual-tour/housingbank-realestate/phase3/aq-re-100538/index.html", "جولة"), "")</f>
        <v>جولة</v>
      </c>
      <c r="AA328" t="str">
        <f>IF(NOT("https://maps.app.goo.gl/gJgkxjtdkCa7kW5G6" = ""), HYPERLINK("https://maps.app.goo.gl/gJgkxjtdkCa7kW5G6", "موقع"), "")</f>
        <v>موقع</v>
      </c>
    </row>
    <row r="329" spans="1:27" x14ac:dyDescent="0.3">
      <c r="A329" t="s">
        <v>1180</v>
      </c>
      <c r="B329" s="8">
        <v>46282.623217592591</v>
      </c>
      <c r="C329" t="s">
        <v>2</v>
      </c>
      <c r="D329" t="s">
        <v>59</v>
      </c>
      <c r="E329" t="s">
        <v>1177</v>
      </c>
      <c r="F329" t="s">
        <v>3123</v>
      </c>
      <c r="G329" t="s">
        <v>21</v>
      </c>
      <c r="H329" t="s">
        <v>1100</v>
      </c>
      <c r="I329" t="s">
        <v>1143</v>
      </c>
      <c r="J329" t="s">
        <v>1175</v>
      </c>
      <c r="K329" t="s">
        <v>1176</v>
      </c>
      <c r="L329">
        <v>123</v>
      </c>
      <c r="M329">
        <v>154</v>
      </c>
      <c r="N329">
        <v>21000</v>
      </c>
      <c r="O329">
        <v>31.918082999999999</v>
      </c>
      <c r="P329">
        <v>36.017000000000003</v>
      </c>
      <c r="Q329" t="s">
        <v>771</v>
      </c>
      <c r="R329" t="s">
        <v>3124</v>
      </c>
      <c r="S329" t="s">
        <v>2579</v>
      </c>
      <c r="U329" t="s">
        <v>3125</v>
      </c>
      <c r="V329" t="s">
        <v>73</v>
      </c>
      <c r="W329" t="s">
        <v>1181</v>
      </c>
      <c r="Y329" t="s">
        <v>30</v>
      </c>
      <c r="Z329" t="str">
        <f>IF(NOT("https://truemarkets3d.net/3d-virtual-tour/housingbank-realestate/phase3/aq-re-100102/index.html" = ""), HYPERLINK("https://truemarkets3d.net/3d-virtual-tour/housingbank-realestate/phase3/aq-re-100102/index.html", "جولة"), "")</f>
        <v>جولة</v>
      </c>
      <c r="AA329" t="str">
        <f>IF(NOT("https://maps.app.goo.gl/18D643vFWhNA1VvUA" = ""), HYPERLINK("https://maps.app.goo.gl/18D643vFWhNA1VvUA", "موقع"), "")</f>
        <v>موقع</v>
      </c>
    </row>
    <row r="330" spans="1:27" x14ac:dyDescent="0.3">
      <c r="A330" t="s">
        <v>1182</v>
      </c>
      <c r="B330" s="8">
        <v>46282.623217592591</v>
      </c>
      <c r="C330" t="s">
        <v>2</v>
      </c>
      <c r="D330" t="s">
        <v>59</v>
      </c>
      <c r="E330" t="s">
        <v>1185</v>
      </c>
      <c r="F330" t="s">
        <v>3126</v>
      </c>
      <c r="G330" t="s">
        <v>21</v>
      </c>
      <c r="H330" t="s">
        <v>1100</v>
      </c>
      <c r="I330" t="s">
        <v>1162</v>
      </c>
      <c r="J330" t="s">
        <v>1183</v>
      </c>
      <c r="K330" t="s">
        <v>1184</v>
      </c>
      <c r="L330">
        <v>111</v>
      </c>
      <c r="M330">
        <v>1152</v>
      </c>
      <c r="N330">
        <v>21000</v>
      </c>
      <c r="Q330" t="s">
        <v>1186</v>
      </c>
      <c r="S330" t="s">
        <v>2525</v>
      </c>
      <c r="V330" t="s">
        <v>43</v>
      </c>
      <c r="W330" t="s">
        <v>1187</v>
      </c>
      <c r="Y330" t="s">
        <v>30</v>
      </c>
      <c r="Z330" t="s">
        <v>30</v>
      </c>
      <c r="AA330" t="s">
        <v>30</v>
      </c>
    </row>
    <row r="331" spans="1:27" x14ac:dyDescent="0.3">
      <c r="A331" t="s">
        <v>1188</v>
      </c>
      <c r="B331" s="8">
        <v>46282.623217592591</v>
      </c>
      <c r="C331" t="s">
        <v>2</v>
      </c>
      <c r="D331" t="s">
        <v>59</v>
      </c>
      <c r="E331" t="s">
        <v>1190</v>
      </c>
      <c r="F331" t="s">
        <v>3127</v>
      </c>
      <c r="G331" t="s">
        <v>21</v>
      </c>
      <c r="H331" t="s">
        <v>1100</v>
      </c>
      <c r="I331" t="s">
        <v>1162</v>
      </c>
      <c r="J331" t="s">
        <v>1163</v>
      </c>
      <c r="K331" t="s">
        <v>1189</v>
      </c>
      <c r="L331">
        <v>-814</v>
      </c>
      <c r="M331">
        <v>3266</v>
      </c>
      <c r="N331">
        <v>22000</v>
      </c>
      <c r="O331">
        <v>31.957750000000001</v>
      </c>
      <c r="P331">
        <v>35.995333000000002</v>
      </c>
      <c r="Q331" t="s">
        <v>282</v>
      </c>
      <c r="S331" t="s">
        <v>2525</v>
      </c>
      <c r="U331" t="s">
        <v>3128</v>
      </c>
      <c r="V331" t="s">
        <v>33</v>
      </c>
      <c r="W331" t="s">
        <v>1191</v>
      </c>
      <c r="Y331" t="s">
        <v>30</v>
      </c>
      <c r="Z331" t="s">
        <v>30</v>
      </c>
      <c r="AA331" t="str">
        <f>IF(NOT("https://maps.app.goo.gl/7T7TVpSx9C8LK6M58" = ""), HYPERLINK("https://maps.app.goo.gl/7T7TVpSx9C8LK6M58", "موقع"), "")</f>
        <v>موقع</v>
      </c>
    </row>
    <row r="332" spans="1:27" x14ac:dyDescent="0.3">
      <c r="A332" t="s">
        <v>1192</v>
      </c>
      <c r="B332" s="8">
        <v>46282.623217592591</v>
      </c>
      <c r="C332" t="s">
        <v>2</v>
      </c>
      <c r="D332" t="s">
        <v>59</v>
      </c>
      <c r="E332" t="s">
        <v>1165</v>
      </c>
      <c r="F332" t="s">
        <v>3129</v>
      </c>
      <c r="G332" t="s">
        <v>21</v>
      </c>
      <c r="H332" t="s">
        <v>1100</v>
      </c>
      <c r="I332" t="s">
        <v>1162</v>
      </c>
      <c r="J332" t="s">
        <v>1163</v>
      </c>
      <c r="K332" t="s">
        <v>1193</v>
      </c>
      <c r="L332">
        <v>121</v>
      </c>
      <c r="M332">
        <v>3943</v>
      </c>
      <c r="N332">
        <v>23000</v>
      </c>
      <c r="O332">
        <v>31.986944000000001</v>
      </c>
      <c r="P332">
        <v>35.981417</v>
      </c>
      <c r="Q332" t="s">
        <v>131</v>
      </c>
      <c r="S332" t="s">
        <v>2525</v>
      </c>
      <c r="U332" t="s">
        <v>3130</v>
      </c>
      <c r="V332" t="s">
        <v>73</v>
      </c>
      <c r="W332" t="s">
        <v>1194</v>
      </c>
      <c r="Y332" t="s">
        <v>30</v>
      </c>
      <c r="Z332" t="s">
        <v>30</v>
      </c>
      <c r="AA332" t="str">
        <f>IF(NOT("https://maps.app.goo.gl/CVUY1QsTKfAiCceLA" = ""), HYPERLINK("https://maps.app.goo.gl/CVUY1QsTKfAiCceLA", "موقع"), "")</f>
        <v>موقع</v>
      </c>
    </row>
    <row r="333" spans="1:27" x14ac:dyDescent="0.3">
      <c r="A333" t="s">
        <v>1195</v>
      </c>
      <c r="B333" s="8">
        <v>46282.623217592591</v>
      </c>
      <c r="C333" t="s">
        <v>2</v>
      </c>
      <c r="D333" t="s">
        <v>59</v>
      </c>
      <c r="E333" t="s">
        <v>1165</v>
      </c>
      <c r="F333" t="s">
        <v>3131</v>
      </c>
      <c r="G333" t="s">
        <v>21</v>
      </c>
      <c r="H333" t="s">
        <v>1100</v>
      </c>
      <c r="I333" t="s">
        <v>1162</v>
      </c>
      <c r="J333" t="s">
        <v>1163</v>
      </c>
      <c r="K333" t="s">
        <v>1193</v>
      </c>
      <c r="L333">
        <v>122</v>
      </c>
      <c r="M333">
        <v>3943</v>
      </c>
      <c r="N333">
        <v>23000</v>
      </c>
      <c r="Q333" t="s">
        <v>131</v>
      </c>
      <c r="S333" t="s">
        <v>2525</v>
      </c>
      <c r="V333" t="s">
        <v>73</v>
      </c>
      <c r="W333" t="s">
        <v>1194</v>
      </c>
      <c r="Y333" t="s">
        <v>30</v>
      </c>
      <c r="Z333" t="s">
        <v>30</v>
      </c>
      <c r="AA333" t="s">
        <v>30</v>
      </c>
    </row>
    <row r="334" spans="1:27" x14ac:dyDescent="0.3">
      <c r="A334" t="s">
        <v>1196</v>
      </c>
      <c r="B334" s="8">
        <v>46282.623217592591</v>
      </c>
      <c r="C334" t="s">
        <v>2</v>
      </c>
      <c r="D334" t="s">
        <v>59</v>
      </c>
      <c r="E334" t="s">
        <v>1177</v>
      </c>
      <c r="F334" t="s">
        <v>3132</v>
      </c>
      <c r="G334" t="s">
        <v>21</v>
      </c>
      <c r="H334" t="s">
        <v>1100</v>
      </c>
      <c r="I334" t="s">
        <v>1143</v>
      </c>
      <c r="J334" t="s">
        <v>1175</v>
      </c>
      <c r="K334" t="s">
        <v>1176</v>
      </c>
      <c r="L334">
        <v>111</v>
      </c>
      <c r="M334">
        <v>308</v>
      </c>
      <c r="N334">
        <v>23000</v>
      </c>
      <c r="Q334" t="s">
        <v>802</v>
      </c>
      <c r="R334" t="s">
        <v>3133</v>
      </c>
      <c r="S334" t="s">
        <v>2579</v>
      </c>
      <c r="V334" t="s">
        <v>43</v>
      </c>
      <c r="W334" t="s">
        <v>1197</v>
      </c>
      <c r="Y334" t="s">
        <v>30</v>
      </c>
      <c r="Z334" t="str">
        <f>IF(NOT("https://truemarkets3d.net/3d-virtual-tour/housingbank-realestate/phase3/aq-re-100366/index.html" = ""), HYPERLINK("https://truemarkets3d.net/3d-virtual-tour/housingbank-realestate/phase3/aq-re-100366/index.html", "جولة"), "")</f>
        <v>جولة</v>
      </c>
      <c r="AA334" t="s">
        <v>30</v>
      </c>
    </row>
    <row r="335" spans="1:27" x14ac:dyDescent="0.3">
      <c r="A335" t="s">
        <v>1198</v>
      </c>
      <c r="B335" s="8">
        <v>46282.623217592591</v>
      </c>
      <c r="C335" t="s">
        <v>2</v>
      </c>
      <c r="D335" t="s">
        <v>59</v>
      </c>
      <c r="E335" t="s">
        <v>1171</v>
      </c>
      <c r="F335" t="s">
        <v>3134</v>
      </c>
      <c r="G335" t="s">
        <v>21</v>
      </c>
      <c r="H335" t="s">
        <v>1100</v>
      </c>
      <c r="I335" t="s">
        <v>1168</v>
      </c>
      <c r="J335" t="s">
        <v>1169</v>
      </c>
      <c r="K335" t="s">
        <v>1170</v>
      </c>
      <c r="L335">
        <v>-101</v>
      </c>
      <c r="M335">
        <v>896</v>
      </c>
      <c r="N335">
        <v>23000</v>
      </c>
      <c r="O335">
        <v>31.842333</v>
      </c>
      <c r="P335">
        <v>35.982805999999997</v>
      </c>
      <c r="Q335" t="s">
        <v>802</v>
      </c>
      <c r="S335" t="s">
        <v>2525</v>
      </c>
      <c r="U335" t="s">
        <v>3135</v>
      </c>
      <c r="V335" t="s">
        <v>33</v>
      </c>
      <c r="W335" t="s">
        <v>1199</v>
      </c>
      <c r="Y335" t="s">
        <v>30</v>
      </c>
      <c r="Z335" t="s">
        <v>30</v>
      </c>
      <c r="AA335" t="str">
        <f>IF(NOT("https://maps.app.goo.gl/Ex28ztdotoUbceN18" = ""), HYPERLINK("https://maps.app.goo.gl/Ex28ztdotoUbceN18", "موقع"), "")</f>
        <v>موقع</v>
      </c>
    </row>
    <row r="336" spans="1:27" x14ac:dyDescent="0.3">
      <c r="A336" t="s">
        <v>1200</v>
      </c>
      <c r="B336" s="8">
        <v>46282.623217592591</v>
      </c>
      <c r="C336" t="s">
        <v>2</v>
      </c>
      <c r="D336" t="s">
        <v>59</v>
      </c>
      <c r="E336" t="s">
        <v>1177</v>
      </c>
      <c r="F336" t="s">
        <v>3136</v>
      </c>
      <c r="G336" t="s">
        <v>21</v>
      </c>
      <c r="H336" t="s">
        <v>1100</v>
      </c>
      <c r="I336" t="s">
        <v>1143</v>
      </c>
      <c r="J336" t="s">
        <v>1175</v>
      </c>
      <c r="K336" t="s">
        <v>1201</v>
      </c>
      <c r="L336">
        <v>101</v>
      </c>
      <c r="M336">
        <v>366</v>
      </c>
      <c r="N336">
        <v>24000</v>
      </c>
      <c r="O336">
        <v>31.899305999999999</v>
      </c>
      <c r="P336">
        <v>35.992944000000001</v>
      </c>
      <c r="Q336" t="s">
        <v>1032</v>
      </c>
      <c r="R336" t="s">
        <v>3137</v>
      </c>
      <c r="S336" t="s">
        <v>2579</v>
      </c>
      <c r="U336" t="s">
        <v>3138</v>
      </c>
      <c r="V336" t="s">
        <v>28</v>
      </c>
      <c r="W336" t="s">
        <v>1202</v>
      </c>
      <c r="Y336" t="s">
        <v>30</v>
      </c>
      <c r="Z336" t="str">
        <f>IF(NOT("https://truemarkets3d.net/3d-virtual-tour/housingbank-realestate/phase3/aq-re-100344/index.html" = ""), HYPERLINK("https://truemarkets3d.net/3d-virtual-tour/housingbank-realestate/phase3/aq-re-100344/index.html", "جولة"), "")</f>
        <v>جولة</v>
      </c>
      <c r="AA336" t="str">
        <f>IF(NOT("https://maps.app.goo.gl/ERYJaf2se3aibHBUA" = ""), HYPERLINK("https://maps.app.goo.gl/ERYJaf2se3aibHBUA", "موقع"), "")</f>
        <v>موقع</v>
      </c>
    </row>
    <row r="337" spans="1:27" x14ac:dyDescent="0.3">
      <c r="A337" t="s">
        <v>1203</v>
      </c>
      <c r="B337" s="8">
        <v>46282.623217592591</v>
      </c>
      <c r="C337" t="s">
        <v>2</v>
      </c>
      <c r="D337" t="s">
        <v>59</v>
      </c>
      <c r="E337" t="s">
        <v>1165</v>
      </c>
      <c r="F337" t="s">
        <v>3139</v>
      </c>
      <c r="G337" t="s">
        <v>21</v>
      </c>
      <c r="H337" t="s">
        <v>1100</v>
      </c>
      <c r="I337" t="s">
        <v>1162</v>
      </c>
      <c r="J337" t="s">
        <v>1163</v>
      </c>
      <c r="K337" t="s">
        <v>1193</v>
      </c>
      <c r="L337">
        <v>116</v>
      </c>
      <c r="M337">
        <v>6220</v>
      </c>
      <c r="N337">
        <v>25000</v>
      </c>
      <c r="O337">
        <v>31.991472000000002</v>
      </c>
      <c r="P337">
        <v>35.983471999999999</v>
      </c>
      <c r="Q337" t="s">
        <v>131</v>
      </c>
      <c r="S337" t="s">
        <v>2525</v>
      </c>
      <c r="U337" t="s">
        <v>3140</v>
      </c>
      <c r="V337" t="s">
        <v>43</v>
      </c>
      <c r="W337" t="s">
        <v>1204</v>
      </c>
      <c r="Y337" t="s">
        <v>30</v>
      </c>
      <c r="Z337" t="s">
        <v>30</v>
      </c>
      <c r="AA337" t="str">
        <f>IF(NOT("https://maps.app.goo.gl/aTx7pKjbh17iq25x8" = ""), HYPERLINK("https://maps.app.goo.gl/aTx7pKjbh17iq25x8", "موقع"), "")</f>
        <v>موقع</v>
      </c>
    </row>
    <row r="338" spans="1:27" x14ac:dyDescent="0.3">
      <c r="A338" t="s">
        <v>1205</v>
      </c>
      <c r="B338" s="8">
        <v>46282.623217592591</v>
      </c>
      <c r="C338" t="s">
        <v>2</v>
      </c>
      <c r="D338" t="s">
        <v>59</v>
      </c>
      <c r="E338" t="s">
        <v>1177</v>
      </c>
      <c r="F338" t="s">
        <v>3141</v>
      </c>
      <c r="G338" t="s">
        <v>21</v>
      </c>
      <c r="H338" t="s">
        <v>1100</v>
      </c>
      <c r="I338" t="s">
        <v>1143</v>
      </c>
      <c r="J338" t="s">
        <v>1175</v>
      </c>
      <c r="K338" t="s">
        <v>1176</v>
      </c>
      <c r="L338">
        <v>124</v>
      </c>
      <c r="M338">
        <v>281</v>
      </c>
      <c r="N338">
        <v>25000</v>
      </c>
      <c r="O338">
        <v>31.922611</v>
      </c>
      <c r="P338">
        <v>36.012777999999997</v>
      </c>
      <c r="Q338" t="s">
        <v>1206</v>
      </c>
      <c r="R338" t="s">
        <v>3142</v>
      </c>
      <c r="S338" t="s">
        <v>2579</v>
      </c>
      <c r="U338" t="s">
        <v>3143</v>
      </c>
      <c r="V338" t="s">
        <v>73</v>
      </c>
      <c r="W338" t="s">
        <v>1207</v>
      </c>
      <c r="X338" t="s">
        <v>3144</v>
      </c>
      <c r="Y338" t="str">
        <f>IF(NOT("https://youtu.be/ubFjmbx5NEI" = ""), HYPERLINK("https://youtu.be/ubFjmbx5NEI", "فيديو"), "")</f>
        <v>فيديو</v>
      </c>
      <c r="Z338" t="str">
        <f>IF(NOT("https://truemarkets3d.net/3d-virtual-tour/housingbank-realestate/phase3/aq-re-100514/index.html" = ""), HYPERLINK("https://truemarkets3d.net/3d-virtual-tour/housingbank-realestate/phase3/aq-re-100514/index.html", "جولة"), "")</f>
        <v>جولة</v>
      </c>
      <c r="AA338" t="str">
        <f>IF(NOT("https://maps.app.goo.gl/5sc3NScLkSbgC8vMA" = ""), HYPERLINK("https://maps.app.goo.gl/5sc3NScLkSbgC8vMA", "موقع"), "")</f>
        <v>موقع</v>
      </c>
    </row>
    <row r="339" spans="1:27" x14ac:dyDescent="0.3">
      <c r="A339" t="s">
        <v>1208</v>
      </c>
      <c r="B339" s="8">
        <v>46282.623217592591</v>
      </c>
      <c r="C339" t="s">
        <v>2</v>
      </c>
      <c r="D339" t="s">
        <v>59</v>
      </c>
      <c r="E339" t="s">
        <v>1209</v>
      </c>
      <c r="F339" t="s">
        <v>3145</v>
      </c>
      <c r="G339" t="s">
        <v>21</v>
      </c>
      <c r="H339" t="s">
        <v>1100</v>
      </c>
      <c r="I339" t="s">
        <v>1143</v>
      </c>
      <c r="J339" t="s">
        <v>1153</v>
      </c>
      <c r="K339" t="s">
        <v>1154</v>
      </c>
      <c r="L339">
        <v>112</v>
      </c>
      <c r="M339">
        <v>1532</v>
      </c>
      <c r="N339">
        <v>25000</v>
      </c>
      <c r="O339">
        <v>31.921361000000001</v>
      </c>
      <c r="P339">
        <v>35.951777999999997</v>
      </c>
      <c r="Q339" t="s">
        <v>1159</v>
      </c>
      <c r="S339" t="s">
        <v>2525</v>
      </c>
      <c r="U339" t="s">
        <v>3138</v>
      </c>
      <c r="V339" t="s">
        <v>43</v>
      </c>
      <c r="W339" t="s">
        <v>1210</v>
      </c>
      <c r="Y339" t="s">
        <v>30</v>
      </c>
      <c r="Z339" t="s">
        <v>30</v>
      </c>
      <c r="AA339" t="str">
        <f>IF(NOT("https://maps.app.goo.gl/ERYJaf2se3aibHBUA" = ""), HYPERLINK("https://maps.app.goo.gl/ERYJaf2se3aibHBUA", "موقع"), "")</f>
        <v>موقع</v>
      </c>
    </row>
    <row r="340" spans="1:27" x14ac:dyDescent="0.3">
      <c r="A340" t="s">
        <v>1211</v>
      </c>
      <c r="B340" s="8">
        <v>46282.623217592591</v>
      </c>
      <c r="C340" t="s">
        <v>2</v>
      </c>
      <c r="D340" t="s">
        <v>59</v>
      </c>
      <c r="E340" t="s">
        <v>1177</v>
      </c>
      <c r="F340" t="s">
        <v>3146</v>
      </c>
      <c r="G340" t="s">
        <v>21</v>
      </c>
      <c r="H340" t="s">
        <v>1100</v>
      </c>
      <c r="I340" t="s">
        <v>1143</v>
      </c>
      <c r="J340" t="s">
        <v>1175</v>
      </c>
      <c r="K340" t="s">
        <v>1176</v>
      </c>
      <c r="L340">
        <v>133</v>
      </c>
      <c r="M340">
        <v>219</v>
      </c>
      <c r="N340">
        <v>26000</v>
      </c>
      <c r="O340">
        <v>31.921861</v>
      </c>
      <c r="P340">
        <v>36.007277999999999</v>
      </c>
      <c r="Q340" t="s">
        <v>1212</v>
      </c>
      <c r="S340" t="s">
        <v>2525</v>
      </c>
      <c r="U340" t="s">
        <v>3147</v>
      </c>
      <c r="V340" t="s">
        <v>55</v>
      </c>
      <c r="W340" t="s">
        <v>1213</v>
      </c>
      <c r="Y340" t="s">
        <v>30</v>
      </c>
      <c r="Z340" t="s">
        <v>30</v>
      </c>
      <c r="AA340" t="str">
        <f>IF(NOT("https://maps.app.goo.gl/4XnYQpA3F8XtgmkL6" = ""), HYPERLINK("https://maps.app.goo.gl/4XnYQpA3F8XtgmkL6", "موقع"), "")</f>
        <v>موقع</v>
      </c>
    </row>
    <row r="341" spans="1:27" x14ac:dyDescent="0.3">
      <c r="A341" t="s">
        <v>1214</v>
      </c>
      <c r="B341" s="8">
        <v>46282.623217592591</v>
      </c>
      <c r="C341" t="s">
        <v>2</v>
      </c>
      <c r="D341" t="s">
        <v>59</v>
      </c>
      <c r="E341" t="s">
        <v>1177</v>
      </c>
      <c r="F341" t="s">
        <v>3148</v>
      </c>
      <c r="G341" t="s">
        <v>21</v>
      </c>
      <c r="H341" t="s">
        <v>1100</v>
      </c>
      <c r="I341" t="s">
        <v>1143</v>
      </c>
      <c r="J341" t="s">
        <v>1175</v>
      </c>
      <c r="K341" t="s">
        <v>1176</v>
      </c>
      <c r="L341">
        <v>131</v>
      </c>
      <c r="M341">
        <v>219</v>
      </c>
      <c r="N341">
        <v>26000</v>
      </c>
      <c r="O341">
        <v>31.921861</v>
      </c>
      <c r="P341">
        <v>36.007277999999999</v>
      </c>
      <c r="Q341" t="s">
        <v>1215</v>
      </c>
      <c r="R341" t="s">
        <v>3149</v>
      </c>
      <c r="S341" t="s">
        <v>2579</v>
      </c>
      <c r="U341" t="s">
        <v>3150</v>
      </c>
      <c r="V341" t="s">
        <v>55</v>
      </c>
      <c r="W341" t="s">
        <v>1216</v>
      </c>
      <c r="Y341" t="s">
        <v>30</v>
      </c>
      <c r="Z341" t="str">
        <f>IF(NOT("https://truemarkets3d.net/3d-virtual-tour/housingbank-realestate/phase3/aq-re-100118/index.html" = ""), HYPERLINK("https://truemarkets3d.net/3d-virtual-tour/housingbank-realestate/phase3/aq-re-100118/index.html", "جولة"), "")</f>
        <v>جولة</v>
      </c>
      <c r="AA341" t="str">
        <f>IF(NOT("https://maps.app.goo.gl/kbtz4cZjB6puina27" = ""), HYPERLINK("https://maps.app.goo.gl/kbtz4cZjB6puina27", "موقع"), "")</f>
        <v>موقع</v>
      </c>
    </row>
    <row r="342" spans="1:27" x14ac:dyDescent="0.3">
      <c r="A342" t="s">
        <v>1217</v>
      </c>
      <c r="B342" s="8">
        <v>46282.623217592591</v>
      </c>
      <c r="C342" t="s">
        <v>2</v>
      </c>
      <c r="D342" t="s">
        <v>59</v>
      </c>
      <c r="E342" t="s">
        <v>1165</v>
      </c>
      <c r="F342" t="s">
        <v>3151</v>
      </c>
      <c r="G342" t="s">
        <v>21</v>
      </c>
      <c r="H342" t="s">
        <v>1100</v>
      </c>
      <c r="I342" t="s">
        <v>1162</v>
      </c>
      <c r="J342" t="s">
        <v>1163</v>
      </c>
      <c r="K342" t="s">
        <v>1193</v>
      </c>
      <c r="L342">
        <v>101</v>
      </c>
      <c r="M342">
        <v>3943</v>
      </c>
      <c r="N342">
        <v>26000</v>
      </c>
      <c r="O342">
        <v>31.986944000000001</v>
      </c>
      <c r="P342">
        <v>35.981417</v>
      </c>
      <c r="Q342" t="s">
        <v>131</v>
      </c>
      <c r="S342" t="s">
        <v>2525</v>
      </c>
      <c r="U342" t="s">
        <v>3130</v>
      </c>
      <c r="V342" t="s">
        <v>28</v>
      </c>
      <c r="W342" t="s">
        <v>1218</v>
      </c>
      <c r="Y342" t="s">
        <v>30</v>
      </c>
      <c r="Z342" t="s">
        <v>30</v>
      </c>
      <c r="AA342" t="str">
        <f>IF(NOT("https://maps.app.goo.gl/CVUY1QsTKfAiCceLA" = ""), HYPERLINK("https://maps.app.goo.gl/CVUY1QsTKfAiCceLA", "موقع"), "")</f>
        <v>موقع</v>
      </c>
    </row>
    <row r="343" spans="1:27" x14ac:dyDescent="0.3">
      <c r="A343" t="s">
        <v>1219</v>
      </c>
      <c r="B343" s="8">
        <v>46282.623217592591</v>
      </c>
      <c r="C343" t="s">
        <v>2</v>
      </c>
      <c r="D343" t="s">
        <v>59</v>
      </c>
      <c r="E343" t="s">
        <v>1209</v>
      </c>
      <c r="F343" t="s">
        <v>3152</v>
      </c>
      <c r="G343" t="s">
        <v>21</v>
      </c>
      <c r="H343" t="s">
        <v>1100</v>
      </c>
      <c r="I343" t="s">
        <v>1143</v>
      </c>
      <c r="J343" t="s">
        <v>1153</v>
      </c>
      <c r="K343" t="s">
        <v>1154</v>
      </c>
      <c r="L343">
        <v>111</v>
      </c>
      <c r="M343">
        <v>1532</v>
      </c>
      <c r="N343">
        <v>26000</v>
      </c>
      <c r="O343">
        <v>31.921361000000001</v>
      </c>
      <c r="P343">
        <v>35.951777999999997</v>
      </c>
      <c r="Q343" t="s">
        <v>1156</v>
      </c>
      <c r="S343" t="s">
        <v>2525</v>
      </c>
      <c r="U343" t="s">
        <v>3153</v>
      </c>
      <c r="V343" t="s">
        <v>43</v>
      </c>
      <c r="W343" t="s">
        <v>1220</v>
      </c>
      <c r="Y343" t="s">
        <v>30</v>
      </c>
      <c r="Z343" t="s">
        <v>30</v>
      </c>
      <c r="AA343" t="str">
        <f>IF(NOT("https://maps.app.goo.gl/bf5suPh1y295eoDY6" = ""), HYPERLINK("https://maps.app.goo.gl/bf5suPh1y295eoDY6", "موقع"), "")</f>
        <v>موقع</v>
      </c>
    </row>
    <row r="344" spans="1:27" x14ac:dyDescent="0.3">
      <c r="A344" t="s">
        <v>1221</v>
      </c>
      <c r="B344" s="8">
        <v>46282.623217592591</v>
      </c>
      <c r="C344" t="s">
        <v>2</v>
      </c>
      <c r="D344" t="s">
        <v>59</v>
      </c>
      <c r="E344" t="s">
        <v>1165</v>
      </c>
      <c r="F344" t="s">
        <v>3154</v>
      </c>
      <c r="G344" t="s">
        <v>21</v>
      </c>
      <c r="H344" t="s">
        <v>1100</v>
      </c>
      <c r="I344" t="s">
        <v>1162</v>
      </c>
      <c r="J344" t="s">
        <v>1163</v>
      </c>
      <c r="K344" t="s">
        <v>1193</v>
      </c>
      <c r="L344">
        <v>102</v>
      </c>
      <c r="M344">
        <v>3943</v>
      </c>
      <c r="N344">
        <v>26000</v>
      </c>
      <c r="O344">
        <v>31.986944000000001</v>
      </c>
      <c r="P344">
        <v>35.981417</v>
      </c>
      <c r="Q344" t="s">
        <v>131</v>
      </c>
      <c r="S344" t="s">
        <v>2525</v>
      </c>
      <c r="U344" t="s">
        <v>3130</v>
      </c>
      <c r="V344" t="s">
        <v>28</v>
      </c>
      <c r="W344" t="s">
        <v>1218</v>
      </c>
      <c r="Y344" t="s">
        <v>30</v>
      </c>
      <c r="Z344" t="s">
        <v>30</v>
      </c>
      <c r="AA344" t="str">
        <f>IF(NOT("https://maps.app.goo.gl/CVUY1QsTKfAiCceLA" = ""), HYPERLINK("https://maps.app.goo.gl/CVUY1QsTKfAiCceLA", "موقع"), "")</f>
        <v>موقع</v>
      </c>
    </row>
    <row r="345" spans="1:27" x14ac:dyDescent="0.3">
      <c r="A345" t="s">
        <v>1222</v>
      </c>
      <c r="B345" s="8">
        <v>46282.623217592591</v>
      </c>
      <c r="C345" t="s">
        <v>2</v>
      </c>
      <c r="D345" t="s">
        <v>59</v>
      </c>
      <c r="E345" t="s">
        <v>1177</v>
      </c>
      <c r="F345" t="s">
        <v>3155</v>
      </c>
      <c r="G345" t="s">
        <v>21</v>
      </c>
      <c r="H345" t="s">
        <v>1100</v>
      </c>
      <c r="I345" t="s">
        <v>1143</v>
      </c>
      <c r="J345" t="s">
        <v>1175</v>
      </c>
      <c r="K345" t="s">
        <v>1223</v>
      </c>
      <c r="L345">
        <v>124</v>
      </c>
      <c r="M345">
        <v>100</v>
      </c>
      <c r="N345">
        <v>26000</v>
      </c>
      <c r="O345">
        <v>31.909139</v>
      </c>
      <c r="P345">
        <v>35.961388999999997</v>
      </c>
      <c r="Q345" t="s">
        <v>1224</v>
      </c>
      <c r="R345" t="s">
        <v>3156</v>
      </c>
      <c r="S345" t="s">
        <v>2579</v>
      </c>
      <c r="U345" t="s">
        <v>3157</v>
      </c>
      <c r="V345" t="s">
        <v>73</v>
      </c>
      <c r="W345" t="s">
        <v>1225</v>
      </c>
      <c r="X345" t="s">
        <v>3158</v>
      </c>
      <c r="Y345" t="str">
        <f>IF(NOT("https://youtu.be/tmGy33dVEJs" = ""), HYPERLINK("https://youtu.be/tmGy33dVEJs", "فيديو"), "")</f>
        <v>فيديو</v>
      </c>
      <c r="Z345" t="str">
        <f>IF(NOT("https://truemarkets3d.net/3d-virtual-tour/housingbank-realestate/phase3/aq-re-100480/index.html" = ""), HYPERLINK("https://truemarkets3d.net/3d-virtual-tour/housingbank-realestate/phase3/aq-re-100480/index.html", "جولة"), "")</f>
        <v>جولة</v>
      </c>
      <c r="AA345" t="str">
        <f>IF(NOT("https://maps.app.goo.gl/Y9TmiZM2eCzjn8H49" = ""), HYPERLINK("https://maps.app.goo.gl/Y9TmiZM2eCzjn8H49", "موقع"), "")</f>
        <v>موقع</v>
      </c>
    </row>
    <row r="346" spans="1:27" x14ac:dyDescent="0.3">
      <c r="A346" t="s">
        <v>1226</v>
      </c>
      <c r="B346" s="8">
        <v>46282.623217592591</v>
      </c>
      <c r="C346" t="s">
        <v>2</v>
      </c>
      <c r="D346" t="s">
        <v>59</v>
      </c>
      <c r="E346" t="s">
        <v>1185</v>
      </c>
      <c r="F346" t="s">
        <v>3159</v>
      </c>
      <c r="G346" t="s">
        <v>21</v>
      </c>
      <c r="H346" t="s">
        <v>1100</v>
      </c>
      <c r="I346" t="s">
        <v>1162</v>
      </c>
      <c r="J346" t="s">
        <v>1183</v>
      </c>
      <c r="K346" t="s">
        <v>1184</v>
      </c>
      <c r="L346">
        <v>122</v>
      </c>
      <c r="M346">
        <v>3969</v>
      </c>
      <c r="N346">
        <v>28000</v>
      </c>
      <c r="O346">
        <v>31.973167</v>
      </c>
      <c r="P346">
        <v>35.956249999999997</v>
      </c>
      <c r="Q346" t="s">
        <v>1227</v>
      </c>
      <c r="S346" t="s">
        <v>2525</v>
      </c>
      <c r="U346" t="s">
        <v>3160</v>
      </c>
      <c r="V346" t="s">
        <v>73</v>
      </c>
      <c r="W346" t="s">
        <v>1228</v>
      </c>
      <c r="Y346" t="s">
        <v>30</v>
      </c>
      <c r="Z346" t="s">
        <v>30</v>
      </c>
      <c r="AA346" t="str">
        <f>IF(NOT("https://maps.app.goo.gl/vori1xhEio1x7ks39" = ""), HYPERLINK("https://maps.app.goo.gl/vori1xhEio1x7ks39", "موقع"), "")</f>
        <v>موقع</v>
      </c>
    </row>
    <row r="347" spans="1:27" x14ac:dyDescent="0.3">
      <c r="A347" t="s">
        <v>1229</v>
      </c>
      <c r="B347" s="8">
        <v>46282.623217592591</v>
      </c>
      <c r="C347" t="s">
        <v>2</v>
      </c>
      <c r="D347" t="s">
        <v>59</v>
      </c>
      <c r="E347" t="s">
        <v>1231</v>
      </c>
      <c r="F347" t="s">
        <v>3161</v>
      </c>
      <c r="G347" t="s">
        <v>21</v>
      </c>
      <c r="H347" t="s">
        <v>1100</v>
      </c>
      <c r="I347" t="s">
        <v>1101</v>
      </c>
      <c r="J347" t="s">
        <v>1102</v>
      </c>
      <c r="K347" t="s">
        <v>1230</v>
      </c>
      <c r="L347">
        <v>101</v>
      </c>
      <c r="M347">
        <v>1356</v>
      </c>
      <c r="N347">
        <v>29000</v>
      </c>
      <c r="O347">
        <v>31.937999999999999</v>
      </c>
      <c r="P347">
        <v>35.908999999999999</v>
      </c>
      <c r="Q347" t="s">
        <v>1232</v>
      </c>
      <c r="R347" t="s">
        <v>3162</v>
      </c>
      <c r="S347" t="s">
        <v>2579</v>
      </c>
      <c r="U347" t="s">
        <v>3163</v>
      </c>
      <c r="V347" t="s">
        <v>28</v>
      </c>
      <c r="W347" t="s">
        <v>1233</v>
      </c>
      <c r="Y347" t="s">
        <v>30</v>
      </c>
      <c r="Z347" t="str">
        <f>IF(NOT("https://truemarkets3d.net/3d-virtual-tour/housingbank-realestate/phase3/aq-re-100512/index.html" = ""), HYPERLINK("https://truemarkets3d.net/3d-virtual-tour/housingbank-realestate/phase3/aq-re-100512/index.html", "جولة"), "")</f>
        <v>جولة</v>
      </c>
      <c r="AA347" t="str">
        <f>IF(NOT("https://maps.app.goo.gl/q8jxZJE12xrqNLrV8" = ""), HYPERLINK("https://maps.app.goo.gl/q8jxZJE12xrqNLrV8", "موقع"), "")</f>
        <v>موقع</v>
      </c>
    </row>
    <row r="348" spans="1:27" x14ac:dyDescent="0.3">
      <c r="A348" t="s">
        <v>1234</v>
      </c>
      <c r="B348" s="8">
        <v>46282.623217592591</v>
      </c>
      <c r="C348" t="s">
        <v>2</v>
      </c>
      <c r="D348" t="s">
        <v>59</v>
      </c>
      <c r="E348" t="s">
        <v>1236</v>
      </c>
      <c r="F348" t="s">
        <v>3151</v>
      </c>
      <c r="G348" t="s">
        <v>21</v>
      </c>
      <c r="H348" t="s">
        <v>1100</v>
      </c>
      <c r="I348" t="s">
        <v>1101</v>
      </c>
      <c r="J348" t="s">
        <v>1102</v>
      </c>
      <c r="K348" t="s">
        <v>1235</v>
      </c>
      <c r="L348">
        <v>102</v>
      </c>
      <c r="M348">
        <v>1052</v>
      </c>
      <c r="N348">
        <v>29000</v>
      </c>
      <c r="Q348" t="s">
        <v>1237</v>
      </c>
      <c r="S348" t="s">
        <v>2525</v>
      </c>
      <c r="V348" t="s">
        <v>28</v>
      </c>
      <c r="W348" t="s">
        <v>1238</v>
      </c>
      <c r="Y348" t="s">
        <v>30</v>
      </c>
      <c r="Z348" t="s">
        <v>30</v>
      </c>
      <c r="AA348" t="s">
        <v>30</v>
      </c>
    </row>
    <row r="349" spans="1:27" x14ac:dyDescent="0.3">
      <c r="A349" t="s">
        <v>1239</v>
      </c>
      <c r="B349" s="8">
        <v>46282.623217592591</v>
      </c>
      <c r="C349" t="s">
        <v>2</v>
      </c>
      <c r="D349" t="s">
        <v>59</v>
      </c>
      <c r="E349" t="s">
        <v>1171</v>
      </c>
      <c r="F349" t="s">
        <v>3164</v>
      </c>
      <c r="G349" t="s">
        <v>21</v>
      </c>
      <c r="H349" t="s">
        <v>1100</v>
      </c>
      <c r="I349" t="s">
        <v>1168</v>
      </c>
      <c r="J349" t="s">
        <v>1240</v>
      </c>
      <c r="K349" t="s">
        <v>434</v>
      </c>
      <c r="L349">
        <v>101</v>
      </c>
      <c r="M349">
        <v>673</v>
      </c>
      <c r="N349">
        <v>29000</v>
      </c>
      <c r="O349">
        <v>31.810027999999999</v>
      </c>
      <c r="P349">
        <v>36.112222000000003</v>
      </c>
      <c r="Q349" t="s">
        <v>1241</v>
      </c>
      <c r="S349" t="s">
        <v>2525</v>
      </c>
      <c r="U349" t="s">
        <v>3165</v>
      </c>
      <c r="V349" t="s">
        <v>28</v>
      </c>
      <c r="W349" t="s">
        <v>1242</v>
      </c>
      <c r="Y349" t="s">
        <v>30</v>
      </c>
      <c r="Z349" t="s">
        <v>30</v>
      </c>
      <c r="AA349" t="str">
        <f>IF(NOT("https://maps.app.goo.gl/9HgMwvdaYCYtsHaMA" = ""), HYPERLINK("https://maps.app.goo.gl/9HgMwvdaYCYtsHaMA", "موقع"), "")</f>
        <v>موقع</v>
      </c>
    </row>
    <row r="350" spans="1:27" x14ac:dyDescent="0.3">
      <c r="A350" t="s">
        <v>1243</v>
      </c>
      <c r="B350" s="8">
        <v>46282.623217592591</v>
      </c>
      <c r="C350" t="s">
        <v>2</v>
      </c>
      <c r="D350" t="s">
        <v>59</v>
      </c>
      <c r="E350" t="s">
        <v>1209</v>
      </c>
      <c r="F350" t="s">
        <v>2916</v>
      </c>
      <c r="G350" t="s">
        <v>21</v>
      </c>
      <c r="H350" t="s">
        <v>1100</v>
      </c>
      <c r="I350" t="s">
        <v>1143</v>
      </c>
      <c r="J350" t="s">
        <v>1153</v>
      </c>
      <c r="K350" t="s">
        <v>1244</v>
      </c>
      <c r="L350">
        <v>123</v>
      </c>
      <c r="M350">
        <v>6217</v>
      </c>
      <c r="N350">
        <v>30000</v>
      </c>
      <c r="O350">
        <v>31.951639</v>
      </c>
      <c r="P350">
        <v>35.971944000000001</v>
      </c>
      <c r="Q350" t="s">
        <v>272</v>
      </c>
      <c r="R350" t="s">
        <v>3166</v>
      </c>
      <c r="S350" t="s">
        <v>2579</v>
      </c>
      <c r="U350" t="s">
        <v>3167</v>
      </c>
      <c r="V350" t="s">
        <v>73</v>
      </c>
      <c r="W350" t="s">
        <v>1245</v>
      </c>
      <c r="Y350" t="s">
        <v>30</v>
      </c>
      <c r="Z350" t="str">
        <f>IF(NOT("https://truemarkets3d.net/3d-virtual-tour/housingbank-realestate/phase3/aq-re-100860/index.html" = ""), HYPERLINK("https://truemarkets3d.net/3d-virtual-tour/housingbank-realestate/phase3/aq-re-100860/index.html", "جولة"), "")</f>
        <v>جولة</v>
      </c>
      <c r="AA350" t="str">
        <f>IF(NOT("https://maps.app.goo.gl/iXC6GxQpcnzo8KVt8" = ""), HYPERLINK("https://maps.app.goo.gl/iXC6GxQpcnzo8KVt8", "موقع"), "")</f>
        <v>موقع</v>
      </c>
    </row>
    <row r="351" spans="1:27" x14ac:dyDescent="0.3">
      <c r="A351" t="s">
        <v>1246</v>
      </c>
      <c r="B351" s="8">
        <v>46282.623217592591</v>
      </c>
      <c r="C351" t="s">
        <v>2</v>
      </c>
      <c r="D351" t="s">
        <v>59</v>
      </c>
      <c r="E351" t="s">
        <v>1165</v>
      </c>
      <c r="F351" t="s">
        <v>3168</v>
      </c>
      <c r="G351" t="s">
        <v>21</v>
      </c>
      <c r="H351" t="s">
        <v>1100</v>
      </c>
      <c r="I351" t="s">
        <v>1162</v>
      </c>
      <c r="J351" t="s">
        <v>1163</v>
      </c>
      <c r="K351" t="s">
        <v>1247</v>
      </c>
      <c r="L351">
        <v>132</v>
      </c>
      <c r="M351">
        <v>3272</v>
      </c>
      <c r="N351">
        <v>30000</v>
      </c>
      <c r="O351">
        <v>31.956028</v>
      </c>
      <c r="P351">
        <v>35.976083000000003</v>
      </c>
      <c r="Q351" t="s">
        <v>1227</v>
      </c>
      <c r="S351" t="s">
        <v>2525</v>
      </c>
      <c r="U351" t="s">
        <v>3169</v>
      </c>
      <c r="V351" t="s">
        <v>55</v>
      </c>
      <c r="W351" t="s">
        <v>1248</v>
      </c>
      <c r="Y351" t="s">
        <v>30</v>
      </c>
      <c r="Z351" t="s">
        <v>30</v>
      </c>
      <c r="AA351" t="str">
        <f>IF(NOT("https://maps.app.goo.gl/KVbpBtAUNLD4fGf17" = ""), HYPERLINK("https://maps.app.goo.gl/KVbpBtAUNLD4fGf17", "موقع"), "")</f>
        <v>موقع</v>
      </c>
    </row>
    <row r="352" spans="1:27" x14ac:dyDescent="0.3">
      <c r="A352" t="s">
        <v>1249</v>
      </c>
      <c r="B352" s="8">
        <v>46282.623217592591</v>
      </c>
      <c r="C352" t="s">
        <v>2</v>
      </c>
      <c r="D352" t="s">
        <v>59</v>
      </c>
      <c r="E352" t="s">
        <v>1165</v>
      </c>
      <c r="F352" t="s">
        <v>3170</v>
      </c>
      <c r="G352" t="s">
        <v>21</v>
      </c>
      <c r="H352" t="s">
        <v>1100</v>
      </c>
      <c r="I352" t="s">
        <v>1162</v>
      </c>
      <c r="J352" t="s">
        <v>1163</v>
      </c>
      <c r="K352" t="s">
        <v>1247</v>
      </c>
      <c r="L352">
        <v>131</v>
      </c>
      <c r="M352">
        <v>3272</v>
      </c>
      <c r="N352">
        <v>30000</v>
      </c>
      <c r="Q352" t="s">
        <v>1227</v>
      </c>
      <c r="S352" t="s">
        <v>2525</v>
      </c>
      <c r="V352" t="s">
        <v>55</v>
      </c>
      <c r="W352" t="s">
        <v>1248</v>
      </c>
      <c r="Y352" t="s">
        <v>30</v>
      </c>
      <c r="Z352" t="s">
        <v>30</v>
      </c>
      <c r="AA352" t="s">
        <v>30</v>
      </c>
    </row>
    <row r="353" spans="1:27" x14ac:dyDescent="0.3">
      <c r="A353" t="s">
        <v>1250</v>
      </c>
      <c r="B353" s="8">
        <v>46282.623217592591</v>
      </c>
      <c r="C353" t="s">
        <v>2</v>
      </c>
      <c r="D353" t="s">
        <v>59</v>
      </c>
      <c r="E353" t="s">
        <v>1165</v>
      </c>
      <c r="F353" t="s">
        <v>3171</v>
      </c>
      <c r="G353" t="s">
        <v>21</v>
      </c>
      <c r="H353" t="s">
        <v>1100</v>
      </c>
      <c r="I353" t="s">
        <v>1162</v>
      </c>
      <c r="J353" t="s">
        <v>1163</v>
      </c>
      <c r="K353" t="s">
        <v>1247</v>
      </c>
      <c r="L353">
        <v>122</v>
      </c>
      <c r="M353">
        <v>3272</v>
      </c>
      <c r="N353">
        <v>31000</v>
      </c>
      <c r="O353">
        <v>31.956028</v>
      </c>
      <c r="P353">
        <v>35.976083000000003</v>
      </c>
      <c r="Q353" t="s">
        <v>1227</v>
      </c>
      <c r="S353" t="s">
        <v>2525</v>
      </c>
      <c r="U353" t="s">
        <v>3169</v>
      </c>
      <c r="V353" t="s">
        <v>73</v>
      </c>
      <c r="W353" t="s">
        <v>1251</v>
      </c>
      <c r="Y353" t="s">
        <v>30</v>
      </c>
      <c r="Z353" t="s">
        <v>30</v>
      </c>
      <c r="AA353" t="str">
        <f>IF(NOT("https://maps.app.goo.gl/KVbpBtAUNLD4fGf17" = ""), HYPERLINK("https://maps.app.goo.gl/KVbpBtAUNLD4fGf17", "موقع"), "")</f>
        <v>موقع</v>
      </c>
    </row>
    <row r="354" spans="1:27" x14ac:dyDescent="0.3">
      <c r="A354" t="s">
        <v>1252</v>
      </c>
      <c r="B354" s="8">
        <v>46282.623217592591</v>
      </c>
      <c r="C354" t="s">
        <v>2</v>
      </c>
      <c r="D354" t="s">
        <v>59</v>
      </c>
      <c r="E354" t="s">
        <v>1165</v>
      </c>
      <c r="F354" t="s">
        <v>3172</v>
      </c>
      <c r="G354" t="s">
        <v>21</v>
      </c>
      <c r="H354" t="s">
        <v>1100</v>
      </c>
      <c r="I354" t="s">
        <v>1162</v>
      </c>
      <c r="J354" t="s">
        <v>1163</v>
      </c>
      <c r="K354" t="s">
        <v>1247</v>
      </c>
      <c r="L354">
        <v>121</v>
      </c>
      <c r="M354">
        <v>3272</v>
      </c>
      <c r="N354">
        <v>31000</v>
      </c>
      <c r="Q354" t="s">
        <v>1227</v>
      </c>
      <c r="S354" t="s">
        <v>2525</v>
      </c>
      <c r="V354" t="s">
        <v>73</v>
      </c>
      <c r="W354" t="s">
        <v>1251</v>
      </c>
      <c r="Y354" t="s">
        <v>30</v>
      </c>
      <c r="Z354" t="s">
        <v>30</v>
      </c>
      <c r="AA354" t="s">
        <v>30</v>
      </c>
    </row>
    <row r="355" spans="1:27" x14ac:dyDescent="0.3">
      <c r="A355" t="s">
        <v>1253</v>
      </c>
      <c r="B355" s="8">
        <v>46282.623217592591</v>
      </c>
      <c r="C355" t="s">
        <v>2</v>
      </c>
      <c r="D355" t="s">
        <v>59</v>
      </c>
      <c r="E355" t="s">
        <v>1254</v>
      </c>
      <c r="F355" t="s">
        <v>3173</v>
      </c>
      <c r="G355" t="s">
        <v>21</v>
      </c>
      <c r="H355" t="s">
        <v>1100</v>
      </c>
      <c r="I355" t="s">
        <v>1143</v>
      </c>
      <c r="J355" t="s">
        <v>1153</v>
      </c>
      <c r="K355" t="s">
        <v>1244</v>
      </c>
      <c r="L355">
        <v>-121</v>
      </c>
      <c r="M355">
        <v>3581</v>
      </c>
      <c r="N355">
        <v>32000</v>
      </c>
      <c r="Q355" t="s">
        <v>67</v>
      </c>
      <c r="S355" t="s">
        <v>2525</v>
      </c>
      <c r="V355" t="s">
        <v>551</v>
      </c>
      <c r="W355" t="s">
        <v>1255</v>
      </c>
      <c r="Y355" t="s">
        <v>30</v>
      </c>
      <c r="Z355" t="s">
        <v>30</v>
      </c>
      <c r="AA355" t="s">
        <v>30</v>
      </c>
    </row>
    <row r="356" spans="1:27" x14ac:dyDescent="0.3">
      <c r="A356" t="s">
        <v>1256</v>
      </c>
      <c r="B356" s="8">
        <v>46282.623217592591</v>
      </c>
      <c r="C356" t="s">
        <v>2</v>
      </c>
      <c r="D356" t="s">
        <v>59</v>
      </c>
      <c r="E356" t="s">
        <v>1185</v>
      </c>
      <c r="F356" t="s">
        <v>3174</v>
      </c>
      <c r="G356" t="s">
        <v>21</v>
      </c>
      <c r="H356" t="s">
        <v>1100</v>
      </c>
      <c r="I356" t="s">
        <v>1162</v>
      </c>
      <c r="J356" t="s">
        <v>1183</v>
      </c>
      <c r="K356" t="s">
        <v>1184</v>
      </c>
      <c r="L356">
        <v>-102</v>
      </c>
      <c r="M356">
        <v>6594</v>
      </c>
      <c r="N356">
        <v>32000</v>
      </c>
      <c r="O356">
        <v>31.969583</v>
      </c>
      <c r="P356">
        <v>35.957555999999997</v>
      </c>
      <c r="Q356" t="s">
        <v>1257</v>
      </c>
      <c r="S356" t="s">
        <v>2525</v>
      </c>
      <c r="U356" t="s">
        <v>3175</v>
      </c>
      <c r="V356" t="s">
        <v>33</v>
      </c>
      <c r="W356" t="s">
        <v>1258</v>
      </c>
      <c r="Y356" t="s">
        <v>30</v>
      </c>
      <c r="Z356" t="s">
        <v>30</v>
      </c>
      <c r="AA356" t="str">
        <f>IF(NOT("https://maps.app.goo.gl/Vsa2FPvPc3b5Dv6y9" = ""), HYPERLINK("https://maps.app.goo.gl/Vsa2FPvPc3b5Dv6y9", "موقع"), "")</f>
        <v>موقع</v>
      </c>
    </row>
    <row r="357" spans="1:27" x14ac:dyDescent="0.3">
      <c r="A357" t="s">
        <v>1259</v>
      </c>
      <c r="B357" s="8">
        <v>46282.623217592591</v>
      </c>
      <c r="C357" t="s">
        <v>2</v>
      </c>
      <c r="D357" t="s">
        <v>59</v>
      </c>
      <c r="E357" t="s">
        <v>1165</v>
      </c>
      <c r="F357" t="s">
        <v>3176</v>
      </c>
      <c r="G357" t="s">
        <v>21</v>
      </c>
      <c r="H357" t="s">
        <v>1100</v>
      </c>
      <c r="I357" t="s">
        <v>1162</v>
      </c>
      <c r="J357" t="s">
        <v>1163</v>
      </c>
      <c r="K357" t="s">
        <v>1247</v>
      </c>
      <c r="L357">
        <v>111</v>
      </c>
      <c r="M357">
        <v>3272</v>
      </c>
      <c r="N357">
        <v>32000</v>
      </c>
      <c r="O357">
        <v>31.956028</v>
      </c>
      <c r="P357">
        <v>35.976083000000003</v>
      </c>
      <c r="Q357" t="s">
        <v>1227</v>
      </c>
      <c r="S357" t="s">
        <v>2525</v>
      </c>
      <c r="U357" t="s">
        <v>3169</v>
      </c>
      <c r="V357" t="s">
        <v>43</v>
      </c>
      <c r="W357" t="s">
        <v>1260</v>
      </c>
      <c r="Y357" t="s">
        <v>30</v>
      </c>
      <c r="Z357" t="s">
        <v>30</v>
      </c>
      <c r="AA357" t="str">
        <f>IF(NOT("https://maps.app.goo.gl/KVbpBtAUNLD4fGf17" = ""), HYPERLINK("https://maps.app.goo.gl/KVbpBtAUNLD4fGf17", "موقع"), "")</f>
        <v>موقع</v>
      </c>
    </row>
    <row r="358" spans="1:27" x14ac:dyDescent="0.3">
      <c r="A358" t="s">
        <v>1261</v>
      </c>
      <c r="B358" s="8">
        <v>46282.623217592591</v>
      </c>
      <c r="C358" t="s">
        <v>2</v>
      </c>
      <c r="D358" t="s">
        <v>59</v>
      </c>
      <c r="E358" t="s">
        <v>1165</v>
      </c>
      <c r="F358" t="s">
        <v>3177</v>
      </c>
      <c r="G358" t="s">
        <v>21</v>
      </c>
      <c r="H358" t="s">
        <v>1100</v>
      </c>
      <c r="I358" t="s">
        <v>1162</v>
      </c>
      <c r="J358" t="s">
        <v>1163</v>
      </c>
      <c r="K358" t="s">
        <v>1247</v>
      </c>
      <c r="L358">
        <v>112</v>
      </c>
      <c r="M358">
        <v>3272</v>
      </c>
      <c r="N358">
        <v>32000</v>
      </c>
      <c r="O358">
        <v>31.956028</v>
      </c>
      <c r="P358">
        <v>35.976083000000003</v>
      </c>
      <c r="Q358" t="s">
        <v>1227</v>
      </c>
      <c r="S358" t="s">
        <v>2525</v>
      </c>
      <c r="U358" t="s">
        <v>3178</v>
      </c>
      <c r="V358" t="s">
        <v>43</v>
      </c>
      <c r="W358" t="s">
        <v>1260</v>
      </c>
      <c r="Y358" t="s">
        <v>30</v>
      </c>
      <c r="Z358" t="s">
        <v>30</v>
      </c>
      <c r="AA358" t="str">
        <f>IF(NOT("https://maps.app.goo.gl/aJVnusEN6pMP5L547" = ""), HYPERLINK("https://maps.app.goo.gl/aJVnusEN6pMP5L547", "موقع"), "")</f>
        <v>موقع</v>
      </c>
    </row>
    <row r="359" spans="1:27" x14ac:dyDescent="0.3">
      <c r="A359" t="s">
        <v>1262</v>
      </c>
      <c r="B359" s="8">
        <v>46282.623217592591</v>
      </c>
      <c r="C359" t="s">
        <v>2</v>
      </c>
      <c r="D359" t="s">
        <v>59</v>
      </c>
      <c r="E359" t="s">
        <v>1266</v>
      </c>
      <c r="F359" t="s">
        <v>3179</v>
      </c>
      <c r="G359" t="s">
        <v>21</v>
      </c>
      <c r="H359" t="s">
        <v>1100</v>
      </c>
      <c r="I359" t="s">
        <v>1263</v>
      </c>
      <c r="J359" t="s">
        <v>1264</v>
      </c>
      <c r="K359" t="s">
        <v>1265</v>
      </c>
      <c r="L359">
        <v>131</v>
      </c>
      <c r="M359">
        <v>1605</v>
      </c>
      <c r="N359">
        <v>33000</v>
      </c>
      <c r="O359">
        <v>32.048110999999999</v>
      </c>
      <c r="P359">
        <v>35.831305999999998</v>
      </c>
      <c r="Q359" t="s">
        <v>1267</v>
      </c>
      <c r="R359" t="s">
        <v>3180</v>
      </c>
      <c r="S359" t="s">
        <v>2579</v>
      </c>
      <c r="U359" t="s">
        <v>3181</v>
      </c>
      <c r="V359" t="s">
        <v>55</v>
      </c>
      <c r="W359" t="s">
        <v>1268</v>
      </c>
      <c r="Y359" t="s">
        <v>30</v>
      </c>
      <c r="Z359" t="str">
        <f>IF(NOT("https://truemarkets3d.net/3d-virtual-tour/housingbank-realestate/phase3/aq-re-100174/index.html" = ""), HYPERLINK("https://truemarkets3d.net/3d-virtual-tour/housingbank-realestate/phase3/aq-re-100174/index.html", "جولة"), "")</f>
        <v>جولة</v>
      </c>
      <c r="AA359" t="str">
        <f>IF(NOT("https://maps.app.goo.gl/WaxN6ZWFE4AJ92L17" = ""), HYPERLINK("https://maps.app.goo.gl/WaxN6ZWFE4AJ92L17", "موقع"), "")</f>
        <v>موقع</v>
      </c>
    </row>
    <row r="360" spans="1:27" x14ac:dyDescent="0.3">
      <c r="A360" t="s">
        <v>1269</v>
      </c>
      <c r="B360" s="8">
        <v>46282.623217592591</v>
      </c>
      <c r="C360" t="s">
        <v>2</v>
      </c>
      <c r="D360" t="s">
        <v>59</v>
      </c>
      <c r="E360" t="s">
        <v>1165</v>
      </c>
      <c r="F360" t="s">
        <v>3182</v>
      </c>
      <c r="G360" t="s">
        <v>21</v>
      </c>
      <c r="H360" t="s">
        <v>1100</v>
      </c>
      <c r="I360" t="s">
        <v>1162</v>
      </c>
      <c r="J360" t="s">
        <v>1163</v>
      </c>
      <c r="K360" t="s">
        <v>1189</v>
      </c>
      <c r="L360">
        <v>-101</v>
      </c>
      <c r="M360">
        <v>1407</v>
      </c>
      <c r="N360">
        <v>33000</v>
      </c>
      <c r="O360">
        <v>31.952556000000001</v>
      </c>
      <c r="P360">
        <v>35.992333000000002</v>
      </c>
      <c r="Q360" t="s">
        <v>1270</v>
      </c>
      <c r="R360" t="s">
        <v>3183</v>
      </c>
      <c r="S360" t="s">
        <v>2579</v>
      </c>
      <c r="U360" t="s">
        <v>3184</v>
      </c>
      <c r="V360" t="s">
        <v>28</v>
      </c>
      <c r="W360" t="s">
        <v>1271</v>
      </c>
      <c r="Y360" t="s">
        <v>30</v>
      </c>
      <c r="Z360" t="str">
        <f>IF(NOT("https://truemarkets3d.net/3d-virtual-tour/housingbank-realestate/phase3/aq-re-100323/index.html" = ""), HYPERLINK("https://truemarkets3d.net/3d-virtual-tour/housingbank-realestate/phase3/aq-re-100323/index.html", "جولة"), "")</f>
        <v>جولة</v>
      </c>
      <c r="AA360" t="str">
        <f>IF(NOT("https://maps.app.goo.gl/AMmEKf5h3mgNwH1DA" = ""), HYPERLINK("https://maps.app.goo.gl/AMmEKf5h3mgNwH1DA", "موقع"), "")</f>
        <v>موقع</v>
      </c>
    </row>
    <row r="361" spans="1:27" x14ac:dyDescent="0.3">
      <c r="A361" t="s">
        <v>1272</v>
      </c>
      <c r="B361" s="8">
        <v>46282.623217592591</v>
      </c>
      <c r="C361" t="s">
        <v>2</v>
      </c>
      <c r="D361" t="s">
        <v>59</v>
      </c>
      <c r="E361" t="s">
        <v>1177</v>
      </c>
      <c r="F361" t="s">
        <v>2562</v>
      </c>
      <c r="G361" t="s">
        <v>21</v>
      </c>
      <c r="H361" t="s">
        <v>1100</v>
      </c>
      <c r="I361" t="s">
        <v>1143</v>
      </c>
      <c r="J361" t="s">
        <v>1175</v>
      </c>
      <c r="K361" t="s">
        <v>1273</v>
      </c>
      <c r="L361">
        <v>112</v>
      </c>
      <c r="M361">
        <v>166</v>
      </c>
      <c r="N361">
        <v>35000</v>
      </c>
      <c r="O361">
        <v>31.935694000000002</v>
      </c>
      <c r="P361">
        <v>35.983944000000001</v>
      </c>
      <c r="Q361" t="s">
        <v>1274</v>
      </c>
      <c r="S361" t="s">
        <v>2525</v>
      </c>
      <c r="U361" t="s">
        <v>3185</v>
      </c>
      <c r="V361" t="s">
        <v>43</v>
      </c>
      <c r="W361" t="s">
        <v>1275</v>
      </c>
      <c r="Y361" t="s">
        <v>30</v>
      </c>
      <c r="Z361" t="s">
        <v>30</v>
      </c>
      <c r="AA361" t="str">
        <f>IF(NOT("https://maps.app.goo.gl/uVfEAgVjitVGzwV2A" = ""), HYPERLINK("https://maps.app.goo.gl/uVfEAgVjitVGzwV2A", "موقع"), "")</f>
        <v>موقع</v>
      </c>
    </row>
    <row r="362" spans="1:27" x14ac:dyDescent="0.3">
      <c r="A362" t="s">
        <v>1276</v>
      </c>
      <c r="B362" s="8">
        <v>46282.623217592591</v>
      </c>
      <c r="C362" t="s">
        <v>2</v>
      </c>
      <c r="D362" t="s">
        <v>59</v>
      </c>
      <c r="E362" t="s">
        <v>1279</v>
      </c>
      <c r="F362" t="s">
        <v>3186</v>
      </c>
      <c r="G362" t="s">
        <v>21</v>
      </c>
      <c r="H362" t="s">
        <v>1100</v>
      </c>
      <c r="I362" t="s">
        <v>1162</v>
      </c>
      <c r="J362" t="s">
        <v>1277</v>
      </c>
      <c r="K362" t="s">
        <v>1278</v>
      </c>
      <c r="L362">
        <v>-101</v>
      </c>
      <c r="M362">
        <v>1989</v>
      </c>
      <c r="N362">
        <v>35000</v>
      </c>
      <c r="O362">
        <v>32.003556000000003</v>
      </c>
      <c r="P362">
        <v>35.967610999999998</v>
      </c>
      <c r="Q362" t="s">
        <v>131</v>
      </c>
      <c r="R362" t="s">
        <v>3187</v>
      </c>
      <c r="S362" t="s">
        <v>2579</v>
      </c>
      <c r="U362" t="s">
        <v>3188</v>
      </c>
      <c r="V362" t="s">
        <v>33</v>
      </c>
      <c r="W362" t="s">
        <v>1280</v>
      </c>
      <c r="Y362" t="s">
        <v>30</v>
      </c>
      <c r="Z362" t="str">
        <f>IF(NOT("https://truemarkets3d.net/3d-virtual-tour/housingbank-realestate/phase3/aq-re-100133/index.html" = ""), HYPERLINK("https://truemarkets3d.net/3d-virtual-tour/housingbank-realestate/phase3/aq-re-100133/index.html", "جولة"), "")</f>
        <v>جولة</v>
      </c>
      <c r="AA362" t="str">
        <f>IF(NOT("https://maps.app.goo.gl/MGV17BkDEptxmrii6" = ""), HYPERLINK("https://maps.app.goo.gl/MGV17BkDEptxmrii6", "موقع"), "")</f>
        <v>موقع</v>
      </c>
    </row>
    <row r="363" spans="1:27" x14ac:dyDescent="0.3">
      <c r="A363" t="s">
        <v>1281</v>
      </c>
      <c r="B363" s="8">
        <v>46282.623217592591</v>
      </c>
      <c r="C363" t="s">
        <v>2</v>
      </c>
      <c r="D363" t="s">
        <v>59</v>
      </c>
      <c r="E363" t="s">
        <v>1209</v>
      </c>
      <c r="F363" t="s">
        <v>2774</v>
      </c>
      <c r="G363" t="s">
        <v>21</v>
      </c>
      <c r="H363" t="s">
        <v>1100</v>
      </c>
      <c r="I363" t="s">
        <v>1143</v>
      </c>
      <c r="J363" t="s">
        <v>1153</v>
      </c>
      <c r="K363" t="s">
        <v>1244</v>
      </c>
      <c r="L363">
        <v>-111</v>
      </c>
      <c r="M363">
        <v>6268</v>
      </c>
      <c r="N363">
        <v>36000</v>
      </c>
      <c r="O363">
        <v>31.953610999999999</v>
      </c>
      <c r="P363">
        <v>35.972332999999999</v>
      </c>
      <c r="Q363" t="s">
        <v>1282</v>
      </c>
      <c r="R363" t="s">
        <v>3189</v>
      </c>
      <c r="S363" t="s">
        <v>2579</v>
      </c>
      <c r="U363" t="s">
        <v>3190</v>
      </c>
      <c r="V363" t="s">
        <v>33</v>
      </c>
      <c r="W363" t="s">
        <v>1283</v>
      </c>
      <c r="Y363" t="s">
        <v>30</v>
      </c>
      <c r="Z363" t="str">
        <f>IF(NOT("https://truemarkets3d.net/3d-virtual-tour/housingbank-realestate/phase3/aq-re-100484/index.html" = ""), HYPERLINK("https://truemarkets3d.net/3d-virtual-tour/housingbank-realestate/phase3/aq-re-100484/index.html", "جولة"), "")</f>
        <v>جولة</v>
      </c>
      <c r="AA363" t="str">
        <f>IF(NOT("https://maps.app.goo.gl/KDy3Gtuicwz5XZ1M9" = ""), HYPERLINK("https://maps.app.goo.gl/KDy3Gtuicwz5XZ1M9", "موقع"), "")</f>
        <v>موقع</v>
      </c>
    </row>
    <row r="364" spans="1:27" x14ac:dyDescent="0.3">
      <c r="A364" t="s">
        <v>1284</v>
      </c>
      <c r="B364" s="8">
        <v>46282.623217592591</v>
      </c>
      <c r="C364" t="s">
        <v>2</v>
      </c>
      <c r="D364" t="s">
        <v>59</v>
      </c>
      <c r="E364" t="s">
        <v>1279</v>
      </c>
      <c r="F364" t="s">
        <v>3191</v>
      </c>
      <c r="G364" t="s">
        <v>21</v>
      </c>
      <c r="H364" t="s">
        <v>1100</v>
      </c>
      <c r="I364" t="s">
        <v>1162</v>
      </c>
      <c r="J364" t="s">
        <v>1183</v>
      </c>
      <c r="K364" t="s">
        <v>1285</v>
      </c>
      <c r="L364">
        <v>-102</v>
      </c>
      <c r="M364">
        <v>2848</v>
      </c>
      <c r="N364">
        <v>36000</v>
      </c>
      <c r="Q364" t="s">
        <v>802</v>
      </c>
      <c r="S364" t="s">
        <v>2525</v>
      </c>
      <c r="V364" t="s">
        <v>33</v>
      </c>
      <c r="W364" t="s">
        <v>1286</v>
      </c>
      <c r="Y364" t="s">
        <v>30</v>
      </c>
      <c r="Z364" t="s">
        <v>30</v>
      </c>
      <c r="AA364" t="s">
        <v>30</v>
      </c>
    </row>
    <row r="365" spans="1:27" x14ac:dyDescent="0.3">
      <c r="A365" t="s">
        <v>1287</v>
      </c>
      <c r="B365" s="8">
        <v>46282.623217592591</v>
      </c>
      <c r="C365" t="s">
        <v>2</v>
      </c>
      <c r="D365" t="s">
        <v>59</v>
      </c>
      <c r="E365" t="s">
        <v>1289</v>
      </c>
      <c r="F365" t="s">
        <v>3192</v>
      </c>
      <c r="G365" t="s">
        <v>21</v>
      </c>
      <c r="H365" t="s">
        <v>1100</v>
      </c>
      <c r="I365" t="s">
        <v>1162</v>
      </c>
      <c r="J365" t="s">
        <v>1183</v>
      </c>
      <c r="K365" t="s">
        <v>1288</v>
      </c>
      <c r="L365">
        <v>-111</v>
      </c>
      <c r="M365">
        <v>974</v>
      </c>
      <c r="N365">
        <v>37000</v>
      </c>
      <c r="Q365" t="s">
        <v>1267</v>
      </c>
      <c r="S365" t="s">
        <v>2525</v>
      </c>
      <c r="V365" t="s">
        <v>28</v>
      </c>
      <c r="W365" t="s">
        <v>1290</v>
      </c>
      <c r="Y365" t="s">
        <v>30</v>
      </c>
      <c r="Z365" t="s">
        <v>30</v>
      </c>
      <c r="AA365" t="s">
        <v>30</v>
      </c>
    </row>
    <row r="366" spans="1:27" x14ac:dyDescent="0.3">
      <c r="A366" t="s">
        <v>1291</v>
      </c>
      <c r="B366" s="8">
        <v>46282.623217592591</v>
      </c>
      <c r="C366" t="s">
        <v>2</v>
      </c>
      <c r="D366" t="s">
        <v>59</v>
      </c>
      <c r="E366" t="s">
        <v>1293</v>
      </c>
      <c r="F366" t="s">
        <v>3193</v>
      </c>
      <c r="G366" t="s">
        <v>21</v>
      </c>
      <c r="H366" t="s">
        <v>1100</v>
      </c>
      <c r="I366" t="s">
        <v>1101</v>
      </c>
      <c r="J366" t="s">
        <v>1102</v>
      </c>
      <c r="K366" t="s">
        <v>1292</v>
      </c>
      <c r="L366">
        <v>132</v>
      </c>
      <c r="M366">
        <v>1597</v>
      </c>
      <c r="N366">
        <v>37000</v>
      </c>
      <c r="O366">
        <v>31.913499999999999</v>
      </c>
      <c r="P366">
        <v>35.890943999999998</v>
      </c>
      <c r="Q366" t="s">
        <v>103</v>
      </c>
      <c r="R366" t="s">
        <v>3194</v>
      </c>
      <c r="S366" t="s">
        <v>2579</v>
      </c>
      <c r="U366" t="s">
        <v>3195</v>
      </c>
      <c r="V366" t="s">
        <v>55</v>
      </c>
      <c r="W366" t="s">
        <v>1294</v>
      </c>
      <c r="Y366" t="s">
        <v>30</v>
      </c>
      <c r="Z366" t="str">
        <f>IF(NOT("https://truemarkets3d.net/3d-virtual-tour/housingbank-realestate/phase3/aq-re-100384/index.html" = ""), HYPERLINK("https://truemarkets3d.net/3d-virtual-tour/housingbank-realestate/phase3/aq-re-100384/index.html", "جولة"), "")</f>
        <v>جولة</v>
      </c>
      <c r="AA366" t="str">
        <f>IF(NOT("https://maps.app.goo.gl/avzK77Gt6NLxUM4k8" = ""), HYPERLINK("https://maps.app.goo.gl/avzK77Gt6NLxUM4k8", "موقع"), "")</f>
        <v>موقع</v>
      </c>
    </row>
    <row r="367" spans="1:27" x14ac:dyDescent="0.3">
      <c r="A367" t="s">
        <v>1295</v>
      </c>
      <c r="B367" s="8">
        <v>46282.623217592591</v>
      </c>
      <c r="C367" t="s">
        <v>2</v>
      </c>
      <c r="D367" t="s">
        <v>59</v>
      </c>
      <c r="E367" t="s">
        <v>1209</v>
      </c>
      <c r="F367" t="s">
        <v>3196</v>
      </c>
      <c r="G367" t="s">
        <v>21</v>
      </c>
      <c r="H367" t="s">
        <v>1100</v>
      </c>
      <c r="I367" t="s">
        <v>1143</v>
      </c>
      <c r="J367" t="s">
        <v>1153</v>
      </c>
      <c r="K367" t="s">
        <v>1244</v>
      </c>
      <c r="L367">
        <v>241</v>
      </c>
      <c r="M367">
        <v>6329</v>
      </c>
      <c r="N367">
        <v>38000</v>
      </c>
      <c r="O367">
        <v>31.937306</v>
      </c>
      <c r="P367">
        <v>35.963417</v>
      </c>
      <c r="Q367" t="s">
        <v>1296</v>
      </c>
      <c r="R367" t="s">
        <v>3197</v>
      </c>
      <c r="S367" t="s">
        <v>2579</v>
      </c>
      <c r="U367" t="s">
        <v>3198</v>
      </c>
      <c r="V367" t="s">
        <v>198</v>
      </c>
      <c r="W367" t="s">
        <v>1297</v>
      </c>
      <c r="Y367" t="s">
        <v>30</v>
      </c>
      <c r="Z367" t="str">
        <f>IF(NOT("https://truemarkets3d.net/3d-virtual-tour/housingbank-realestate/phase3/aq-re-100345/index.html" = ""), HYPERLINK("https://truemarkets3d.net/3d-virtual-tour/housingbank-realestate/phase3/aq-re-100345/index.html", "جولة"), "")</f>
        <v>جولة</v>
      </c>
      <c r="AA367" t="str">
        <f>IF(NOT("https://maps.app.goo.gl/8cAVQW4dZDPtuPu36" = ""), HYPERLINK("https://maps.app.goo.gl/8cAVQW4dZDPtuPu36", "موقع"), "")</f>
        <v>موقع</v>
      </c>
    </row>
    <row r="368" spans="1:27" x14ac:dyDescent="0.3">
      <c r="A368" t="s">
        <v>1298</v>
      </c>
      <c r="B368" s="8">
        <v>46282.623217592591</v>
      </c>
      <c r="C368" t="s">
        <v>2</v>
      </c>
      <c r="D368" t="s">
        <v>59</v>
      </c>
      <c r="E368" t="s">
        <v>1165</v>
      </c>
      <c r="F368" t="s">
        <v>3199</v>
      </c>
      <c r="G368" t="s">
        <v>21</v>
      </c>
      <c r="H368" t="s">
        <v>1100</v>
      </c>
      <c r="I368" t="s">
        <v>1162</v>
      </c>
      <c r="J368" t="s">
        <v>1163</v>
      </c>
      <c r="K368" t="s">
        <v>1247</v>
      </c>
      <c r="L368">
        <v>102</v>
      </c>
      <c r="M368">
        <v>3272</v>
      </c>
      <c r="N368">
        <v>38000</v>
      </c>
      <c r="O368">
        <v>31.956028</v>
      </c>
      <c r="P368">
        <v>35.976083000000003</v>
      </c>
      <c r="Q368" t="s">
        <v>1227</v>
      </c>
      <c r="S368" t="s">
        <v>2525</v>
      </c>
      <c r="U368" t="s">
        <v>3169</v>
      </c>
      <c r="V368" t="s">
        <v>28</v>
      </c>
      <c r="W368" t="s">
        <v>1299</v>
      </c>
      <c r="Y368" t="s">
        <v>30</v>
      </c>
      <c r="Z368" t="s">
        <v>30</v>
      </c>
      <c r="AA368" t="str">
        <f>IF(NOT("https://maps.app.goo.gl/KVbpBtAUNLD4fGf17" = ""), HYPERLINK("https://maps.app.goo.gl/KVbpBtAUNLD4fGf17", "موقع"), "")</f>
        <v>موقع</v>
      </c>
    </row>
    <row r="369" spans="1:27" x14ac:dyDescent="0.3">
      <c r="A369" t="s">
        <v>1300</v>
      </c>
      <c r="B369" s="8">
        <v>46282.623217592591</v>
      </c>
      <c r="C369" t="s">
        <v>2</v>
      </c>
      <c r="D369" t="s">
        <v>59</v>
      </c>
      <c r="E369" t="s">
        <v>1302</v>
      </c>
      <c r="F369" t="s">
        <v>3200</v>
      </c>
      <c r="G369" t="s">
        <v>21</v>
      </c>
      <c r="H369" t="s">
        <v>1100</v>
      </c>
      <c r="I369" t="s">
        <v>1101</v>
      </c>
      <c r="J369" t="s">
        <v>1102</v>
      </c>
      <c r="K369" t="s">
        <v>1301</v>
      </c>
      <c r="L369">
        <v>102</v>
      </c>
      <c r="M369">
        <v>779</v>
      </c>
      <c r="N369">
        <v>39000</v>
      </c>
      <c r="O369">
        <v>31.922917000000002</v>
      </c>
      <c r="P369">
        <v>35.928221999999998</v>
      </c>
      <c r="Q369" t="s">
        <v>1303</v>
      </c>
      <c r="R369" t="s">
        <v>3201</v>
      </c>
      <c r="S369" t="s">
        <v>2579</v>
      </c>
      <c r="T369" t="s">
        <v>3202</v>
      </c>
      <c r="U369" t="s">
        <v>3203</v>
      </c>
      <c r="V369" t="s">
        <v>28</v>
      </c>
      <c r="W369" t="s">
        <v>1304</v>
      </c>
      <c r="Y369" t="s">
        <v>30</v>
      </c>
      <c r="Z369" t="str">
        <f>IF(NOT("https://truemarkets3d.net/3d-virtual-tour/housingbank-realestate/phase3/aq-re-100184/index.html" = ""), HYPERLINK("https://truemarkets3d.net/3d-virtual-tour/housingbank-realestate/phase3/aq-re-100184/index.html", "جولة"), "")</f>
        <v>جولة</v>
      </c>
      <c r="AA369" t="str">
        <f>IF(NOT("https://maps.app.goo.gl/YAb79zfuPzgYQsi7A" = ""), HYPERLINK("https://maps.app.goo.gl/YAb79zfuPzgYQsi7A", "موقع"), "")</f>
        <v>موقع</v>
      </c>
    </row>
    <row r="370" spans="1:27" x14ac:dyDescent="0.3">
      <c r="A370" t="s">
        <v>1305</v>
      </c>
      <c r="B370" s="8">
        <v>46282.623217592591</v>
      </c>
      <c r="C370" t="s">
        <v>2</v>
      </c>
      <c r="D370" t="s">
        <v>59</v>
      </c>
      <c r="E370" t="s">
        <v>1231</v>
      </c>
      <c r="F370" t="s">
        <v>3204</v>
      </c>
      <c r="G370" t="s">
        <v>21</v>
      </c>
      <c r="H370" t="s">
        <v>1100</v>
      </c>
      <c r="I370" t="s">
        <v>1101</v>
      </c>
      <c r="J370" t="s">
        <v>1102</v>
      </c>
      <c r="K370" t="s">
        <v>1306</v>
      </c>
      <c r="L370">
        <v>131</v>
      </c>
      <c r="M370">
        <v>397</v>
      </c>
      <c r="N370">
        <v>40000</v>
      </c>
      <c r="Q370" t="s">
        <v>81</v>
      </c>
      <c r="S370" t="s">
        <v>2525</v>
      </c>
      <c r="V370" t="s">
        <v>55</v>
      </c>
      <c r="W370" t="s">
        <v>1307</v>
      </c>
      <c r="Y370" t="s">
        <v>30</v>
      </c>
      <c r="Z370" t="s">
        <v>30</v>
      </c>
      <c r="AA370" t="s">
        <v>30</v>
      </c>
    </row>
    <row r="371" spans="1:27" x14ac:dyDescent="0.3">
      <c r="A371" t="s">
        <v>1308</v>
      </c>
      <c r="B371" s="8">
        <v>46282.623217592591</v>
      </c>
      <c r="C371" t="s">
        <v>2</v>
      </c>
      <c r="D371" t="s">
        <v>59</v>
      </c>
      <c r="E371" t="s">
        <v>1311</v>
      </c>
      <c r="F371" t="s">
        <v>3205</v>
      </c>
      <c r="G371" t="s">
        <v>21</v>
      </c>
      <c r="H371" t="s">
        <v>1100</v>
      </c>
      <c r="I371" t="s">
        <v>1263</v>
      </c>
      <c r="J371" t="s">
        <v>1309</v>
      </c>
      <c r="K371" t="s">
        <v>1310</v>
      </c>
      <c r="L371">
        <v>122</v>
      </c>
      <c r="M371">
        <v>63</v>
      </c>
      <c r="N371">
        <v>41000</v>
      </c>
      <c r="O371">
        <v>32.060194000000003</v>
      </c>
      <c r="P371">
        <v>35.889000000000003</v>
      </c>
      <c r="Q371" t="s">
        <v>1312</v>
      </c>
      <c r="S371" t="s">
        <v>2525</v>
      </c>
      <c r="U371" t="s">
        <v>3206</v>
      </c>
      <c r="V371" t="s">
        <v>73</v>
      </c>
      <c r="W371" t="s">
        <v>1313</v>
      </c>
      <c r="Y371" t="s">
        <v>30</v>
      </c>
      <c r="Z371" t="s">
        <v>30</v>
      </c>
      <c r="AA371" t="str">
        <f>IF(NOT("https://maps.app.goo.gl/boHCvhcK4sWuF6V77" = ""), HYPERLINK("https://maps.app.goo.gl/boHCvhcK4sWuF6V77", "موقع"), "")</f>
        <v>موقع</v>
      </c>
    </row>
    <row r="372" spans="1:27" x14ac:dyDescent="0.3">
      <c r="A372" t="s">
        <v>1314</v>
      </c>
      <c r="B372" s="8">
        <v>46282.623217592591</v>
      </c>
      <c r="C372" t="s">
        <v>2</v>
      </c>
      <c r="D372" t="s">
        <v>59</v>
      </c>
      <c r="E372" t="s">
        <v>1311</v>
      </c>
      <c r="F372" t="s">
        <v>3207</v>
      </c>
      <c r="G372" t="s">
        <v>21</v>
      </c>
      <c r="H372" t="s">
        <v>1100</v>
      </c>
      <c r="I372" t="s">
        <v>1263</v>
      </c>
      <c r="J372" t="s">
        <v>1309</v>
      </c>
      <c r="K372" t="s">
        <v>1310</v>
      </c>
      <c r="L372">
        <v>132</v>
      </c>
      <c r="M372">
        <v>63</v>
      </c>
      <c r="N372">
        <v>41000</v>
      </c>
      <c r="O372">
        <v>32.060194000000003</v>
      </c>
      <c r="P372">
        <v>35.889000000000003</v>
      </c>
      <c r="Q372" t="s">
        <v>1312</v>
      </c>
      <c r="S372" t="s">
        <v>2525</v>
      </c>
      <c r="U372" t="s">
        <v>3206</v>
      </c>
      <c r="V372" t="s">
        <v>55</v>
      </c>
      <c r="W372" t="s">
        <v>1315</v>
      </c>
      <c r="Y372" t="s">
        <v>30</v>
      </c>
      <c r="Z372" t="s">
        <v>30</v>
      </c>
      <c r="AA372" t="str">
        <f>IF(NOT("https://maps.app.goo.gl/boHCvhcK4sWuF6V77" = ""), HYPERLINK("https://maps.app.goo.gl/boHCvhcK4sWuF6V77", "موقع"), "")</f>
        <v>موقع</v>
      </c>
    </row>
    <row r="373" spans="1:27" x14ac:dyDescent="0.3">
      <c r="A373" t="s">
        <v>1316</v>
      </c>
      <c r="B373" s="8">
        <v>46282.623217592591</v>
      </c>
      <c r="C373" t="s">
        <v>2</v>
      </c>
      <c r="D373" t="s">
        <v>59</v>
      </c>
      <c r="E373" t="s">
        <v>1279</v>
      </c>
      <c r="F373" t="s">
        <v>3208</v>
      </c>
      <c r="G373" t="s">
        <v>21</v>
      </c>
      <c r="H373" t="s">
        <v>1100</v>
      </c>
      <c r="I373" t="s">
        <v>1162</v>
      </c>
      <c r="J373" t="s">
        <v>1277</v>
      </c>
      <c r="K373" t="s">
        <v>1278</v>
      </c>
      <c r="L373">
        <v>-101</v>
      </c>
      <c r="M373">
        <v>1489</v>
      </c>
      <c r="N373">
        <v>42000</v>
      </c>
      <c r="O373">
        <v>32.001416999999996</v>
      </c>
      <c r="P373">
        <v>35.962527999999999</v>
      </c>
      <c r="Q373" t="s">
        <v>1317</v>
      </c>
      <c r="R373" t="s">
        <v>3209</v>
      </c>
      <c r="S373" t="s">
        <v>2579</v>
      </c>
      <c r="U373" t="s">
        <v>3210</v>
      </c>
      <c r="V373" t="s">
        <v>33</v>
      </c>
      <c r="W373" t="s">
        <v>1318</v>
      </c>
      <c r="Y373" t="s">
        <v>30</v>
      </c>
      <c r="Z373" t="str">
        <f>IF(NOT("https://truemarkets3d.net/3d-virtual-tour/housingbank-realestate/phase3/aq-re-100478/index.html" = ""), HYPERLINK("https://truemarkets3d.net/3d-virtual-tour/housingbank-realestate/phase3/aq-re-100478/index.html", "جولة"), "")</f>
        <v>جولة</v>
      </c>
      <c r="AA373" t="str">
        <f>IF(NOT("https://maps.app.goo.gl/eZrUbqiQZUf7VrZr7" = ""), HYPERLINK("https://maps.app.goo.gl/eZrUbqiQZUf7VrZr7", "موقع"), "")</f>
        <v>موقع</v>
      </c>
    </row>
    <row r="374" spans="1:27" x14ac:dyDescent="0.3">
      <c r="A374" t="s">
        <v>1319</v>
      </c>
      <c r="B374" s="8">
        <v>46282.623217592591</v>
      </c>
      <c r="C374" t="s">
        <v>2</v>
      </c>
      <c r="D374" t="s">
        <v>59</v>
      </c>
      <c r="E374" t="s">
        <v>1185</v>
      </c>
      <c r="F374" t="s">
        <v>3211</v>
      </c>
      <c r="G374" t="s">
        <v>21</v>
      </c>
      <c r="H374" t="s">
        <v>1100</v>
      </c>
      <c r="I374" t="s">
        <v>1162</v>
      </c>
      <c r="J374" t="s">
        <v>1183</v>
      </c>
      <c r="K374" t="s">
        <v>1184</v>
      </c>
      <c r="L374">
        <v>-102</v>
      </c>
      <c r="M374">
        <v>6769</v>
      </c>
      <c r="N374">
        <v>42000</v>
      </c>
      <c r="O374">
        <v>31.984528000000001</v>
      </c>
      <c r="P374">
        <v>35.948194000000001</v>
      </c>
      <c r="Q374" t="s">
        <v>786</v>
      </c>
      <c r="S374" t="s">
        <v>2525</v>
      </c>
      <c r="U374" t="s">
        <v>3212</v>
      </c>
      <c r="V374" t="s">
        <v>33</v>
      </c>
      <c r="W374" t="s">
        <v>1320</v>
      </c>
      <c r="Y374" t="s">
        <v>30</v>
      </c>
      <c r="Z374" t="s">
        <v>30</v>
      </c>
      <c r="AA374" t="str">
        <f>IF(NOT("https://maps.app.goo.gl/yNcyY4Q45bH87qkj7" = ""), HYPERLINK("https://maps.app.goo.gl/yNcyY4Q45bH87qkj7", "موقع"), "")</f>
        <v>موقع</v>
      </c>
    </row>
    <row r="375" spans="1:27" x14ac:dyDescent="0.3">
      <c r="A375" t="s">
        <v>1321</v>
      </c>
      <c r="B375" s="8">
        <v>46282.623217592591</v>
      </c>
      <c r="C375" t="s">
        <v>2</v>
      </c>
      <c r="D375" t="s">
        <v>59</v>
      </c>
      <c r="E375" t="s">
        <v>1279</v>
      </c>
      <c r="F375" t="s">
        <v>3213</v>
      </c>
      <c r="G375" t="s">
        <v>21</v>
      </c>
      <c r="H375" t="s">
        <v>1100</v>
      </c>
      <c r="I375" t="s">
        <v>1162</v>
      </c>
      <c r="J375" t="s">
        <v>1277</v>
      </c>
      <c r="K375" t="s">
        <v>1322</v>
      </c>
      <c r="L375">
        <v>-101</v>
      </c>
      <c r="M375">
        <v>499</v>
      </c>
      <c r="N375">
        <v>42000</v>
      </c>
      <c r="O375">
        <v>31.991361000000001</v>
      </c>
      <c r="P375">
        <v>35.967832999999999</v>
      </c>
      <c r="Q375" t="s">
        <v>1323</v>
      </c>
      <c r="R375" t="s">
        <v>3214</v>
      </c>
      <c r="S375" t="s">
        <v>2579</v>
      </c>
      <c r="U375" t="s">
        <v>3215</v>
      </c>
      <c r="V375" t="s">
        <v>33</v>
      </c>
      <c r="W375" t="s">
        <v>1324</v>
      </c>
      <c r="X375" t="s">
        <v>3216</v>
      </c>
      <c r="Y375" t="str">
        <f>IF(NOT("https://www.youtube.com/embed/U9vzjEodZPg" = ""), HYPERLINK("https://www.youtube.com/embed/U9vzjEodZPg", "فيديو"), "")</f>
        <v>فيديو</v>
      </c>
      <c r="Z375" t="str">
        <f>IF(NOT("https://truemarkets3d.net/3d-virtual-tour/housingbank-realestate/phase3/aq-re-100535/index.html" = ""), HYPERLINK("https://truemarkets3d.net/3d-virtual-tour/housingbank-realestate/phase3/aq-re-100535/index.html", "جولة"), "")</f>
        <v>جولة</v>
      </c>
      <c r="AA375" t="str">
        <f>IF(NOT("https://maps.app.goo.gl/MJJ1DuF6Zs6u4YJS8" = ""), HYPERLINK("https://maps.app.goo.gl/MJJ1DuF6Zs6u4YJS8", "موقع"), "")</f>
        <v>موقع</v>
      </c>
    </row>
    <row r="376" spans="1:27" x14ac:dyDescent="0.3">
      <c r="A376" t="s">
        <v>1325</v>
      </c>
      <c r="B376" s="8">
        <v>46282.623217592591</v>
      </c>
      <c r="C376" t="s">
        <v>2</v>
      </c>
      <c r="D376" t="s">
        <v>59</v>
      </c>
      <c r="E376" t="s">
        <v>1279</v>
      </c>
      <c r="F376" t="s">
        <v>3217</v>
      </c>
      <c r="G376" t="s">
        <v>21</v>
      </c>
      <c r="H376" t="s">
        <v>1100</v>
      </c>
      <c r="I376" t="s">
        <v>1162</v>
      </c>
      <c r="J376" t="s">
        <v>1277</v>
      </c>
      <c r="K376" t="s">
        <v>1326</v>
      </c>
      <c r="L376">
        <v>112</v>
      </c>
      <c r="M376">
        <v>997</v>
      </c>
      <c r="N376">
        <v>43000</v>
      </c>
      <c r="Q376" t="s">
        <v>850</v>
      </c>
      <c r="S376" t="s">
        <v>2525</v>
      </c>
      <c r="V376" t="s">
        <v>43</v>
      </c>
      <c r="W376" t="s">
        <v>1327</v>
      </c>
      <c r="Y376" t="s">
        <v>30</v>
      </c>
      <c r="Z376" t="s">
        <v>30</v>
      </c>
      <c r="AA376" t="s">
        <v>30</v>
      </c>
    </row>
    <row r="377" spans="1:27" x14ac:dyDescent="0.3">
      <c r="A377" t="s">
        <v>1328</v>
      </c>
      <c r="B377" s="8">
        <v>46282.623217592591</v>
      </c>
      <c r="C377" t="s">
        <v>2</v>
      </c>
      <c r="D377" t="s">
        <v>59</v>
      </c>
      <c r="E377" t="s">
        <v>1331</v>
      </c>
      <c r="F377" t="s">
        <v>3218</v>
      </c>
      <c r="G377" t="s">
        <v>21</v>
      </c>
      <c r="H377" t="s">
        <v>1100</v>
      </c>
      <c r="I377" t="s">
        <v>1263</v>
      </c>
      <c r="J377" t="s">
        <v>1329</v>
      </c>
      <c r="K377" t="s">
        <v>1330</v>
      </c>
      <c r="L377">
        <v>121</v>
      </c>
      <c r="M377">
        <v>47</v>
      </c>
      <c r="N377">
        <v>43000</v>
      </c>
      <c r="O377">
        <v>32.023916999999997</v>
      </c>
      <c r="P377">
        <v>35.866833</v>
      </c>
      <c r="Q377" t="s">
        <v>1332</v>
      </c>
      <c r="R377" t="s">
        <v>3219</v>
      </c>
      <c r="S377" t="s">
        <v>2579</v>
      </c>
      <c r="U377" t="s">
        <v>3220</v>
      </c>
      <c r="V377" t="s">
        <v>73</v>
      </c>
      <c r="W377" t="s">
        <v>1333</v>
      </c>
      <c r="Y377" t="s">
        <v>30</v>
      </c>
      <c r="Z377" t="str">
        <f>IF(NOT("https://truemarkets3d.net/3d-virtual-tour/housingbank-realestate/phase3/aq-re-100157/index.html" = ""), HYPERLINK("https://truemarkets3d.net/3d-virtual-tour/housingbank-realestate/phase3/aq-re-100157/index.html", "جولة"), "")</f>
        <v>جولة</v>
      </c>
      <c r="AA377" t="str">
        <f>IF(NOT("https://maps.app.goo.gl/UWZgTtN1KouUbsRM9" = ""), HYPERLINK("https://maps.app.goo.gl/UWZgTtN1KouUbsRM9", "موقع"), "")</f>
        <v>موقع</v>
      </c>
    </row>
    <row r="378" spans="1:27" x14ac:dyDescent="0.3">
      <c r="A378" t="s">
        <v>1334</v>
      </c>
      <c r="B378" s="8">
        <v>46282.623217592591</v>
      </c>
      <c r="C378" t="s">
        <v>2</v>
      </c>
      <c r="D378" t="s">
        <v>59</v>
      </c>
      <c r="E378" t="s">
        <v>1337</v>
      </c>
      <c r="F378" t="s">
        <v>3221</v>
      </c>
      <c r="G378" t="s">
        <v>21</v>
      </c>
      <c r="H378" t="s">
        <v>1100</v>
      </c>
      <c r="I378" t="s">
        <v>1263</v>
      </c>
      <c r="J378" t="s">
        <v>1335</v>
      </c>
      <c r="K378" t="s">
        <v>1336</v>
      </c>
      <c r="L378">
        <v>-112</v>
      </c>
      <c r="M378">
        <v>309</v>
      </c>
      <c r="N378">
        <v>43000</v>
      </c>
      <c r="O378">
        <v>32.02675</v>
      </c>
      <c r="P378">
        <v>35.931806000000002</v>
      </c>
      <c r="Q378" t="s">
        <v>160</v>
      </c>
      <c r="R378" t="s">
        <v>3222</v>
      </c>
      <c r="S378" t="s">
        <v>2579</v>
      </c>
      <c r="U378" t="s">
        <v>3223</v>
      </c>
      <c r="V378" t="s">
        <v>33</v>
      </c>
      <c r="W378" t="s">
        <v>1338</v>
      </c>
      <c r="Y378" t="s">
        <v>30</v>
      </c>
      <c r="Z378" t="str">
        <f>IF(NOT("https://truemarkets3d.net/3d-virtual-tour/housingbank-realestate/phase3/aq-re-100146/index.html" = ""), HYPERLINK("https://truemarkets3d.net/3d-virtual-tour/housingbank-realestate/phase3/aq-re-100146/index.html", "جولة"), "")</f>
        <v>جولة</v>
      </c>
      <c r="AA378" t="str">
        <f>IF(NOT("https://maps.app.goo.gl/211YwpBmvUgA5Kkq5" = ""), HYPERLINK("https://maps.app.goo.gl/211YwpBmvUgA5Kkq5", "موقع"), "")</f>
        <v>موقع</v>
      </c>
    </row>
    <row r="379" spans="1:27" x14ac:dyDescent="0.3">
      <c r="A379" t="s">
        <v>1339</v>
      </c>
      <c r="B379" s="8">
        <v>46282.623217592591</v>
      </c>
      <c r="C379" t="s">
        <v>2</v>
      </c>
      <c r="D379" t="s">
        <v>59</v>
      </c>
      <c r="E379" t="s">
        <v>1342</v>
      </c>
      <c r="F379" t="s">
        <v>3224</v>
      </c>
      <c r="G379" t="s">
        <v>21</v>
      </c>
      <c r="H379" t="s">
        <v>1100</v>
      </c>
      <c r="I379" t="s">
        <v>1143</v>
      </c>
      <c r="J379" t="s">
        <v>1340</v>
      </c>
      <c r="K379" t="s">
        <v>1341</v>
      </c>
      <c r="L379">
        <v>-102</v>
      </c>
      <c r="M379">
        <v>1213</v>
      </c>
      <c r="N379">
        <v>43000</v>
      </c>
      <c r="O379">
        <v>31.858556</v>
      </c>
      <c r="P379">
        <v>35.921111000000003</v>
      </c>
      <c r="Q379" t="s">
        <v>1343</v>
      </c>
      <c r="R379" t="s">
        <v>3225</v>
      </c>
      <c r="S379" t="s">
        <v>2579</v>
      </c>
      <c r="U379" t="s">
        <v>3226</v>
      </c>
      <c r="V379" t="s">
        <v>33</v>
      </c>
      <c r="W379" t="s">
        <v>1344</v>
      </c>
      <c r="Y379" t="s">
        <v>30</v>
      </c>
      <c r="Z379" t="str">
        <f>IF(NOT("https://truemarkets3d.net/3d-virtual-tour/housingbank-realestate/phase3/aq-re-100130/index.html" = ""), HYPERLINK("https://truemarkets3d.net/3d-virtual-tour/housingbank-realestate/phase3/aq-re-100130/index.html", "جولة"), "")</f>
        <v>جولة</v>
      </c>
      <c r="AA379" t="str">
        <f>IF(NOT("https://maps.app.goo.gl/b1Hc8pAfjoevcjWLA" = ""), HYPERLINK("https://maps.app.goo.gl/b1Hc8pAfjoevcjWLA", "موقع"), "")</f>
        <v>موقع</v>
      </c>
    </row>
    <row r="380" spans="1:27" x14ac:dyDescent="0.3">
      <c r="A380" t="s">
        <v>1345</v>
      </c>
      <c r="B380" s="8">
        <v>46282.623217592591</v>
      </c>
      <c r="C380" t="s">
        <v>2</v>
      </c>
      <c r="D380" t="s">
        <v>59</v>
      </c>
      <c r="E380" t="s">
        <v>1346</v>
      </c>
      <c r="F380" t="s">
        <v>3227</v>
      </c>
      <c r="G380" t="s">
        <v>21</v>
      </c>
      <c r="H380" t="s">
        <v>1100</v>
      </c>
      <c r="I380" t="s">
        <v>1162</v>
      </c>
      <c r="J380" t="s">
        <v>1183</v>
      </c>
      <c r="K380" t="s">
        <v>1285</v>
      </c>
      <c r="L380">
        <v>-101</v>
      </c>
      <c r="M380">
        <v>2488</v>
      </c>
      <c r="N380">
        <v>43000</v>
      </c>
      <c r="O380">
        <v>31.986139000000001</v>
      </c>
      <c r="P380">
        <v>35.926889000000003</v>
      </c>
      <c r="Q380" t="s">
        <v>219</v>
      </c>
      <c r="R380" t="s">
        <v>3228</v>
      </c>
      <c r="S380" t="s">
        <v>2579</v>
      </c>
      <c r="U380" t="s">
        <v>3229</v>
      </c>
      <c r="V380" t="s">
        <v>33</v>
      </c>
      <c r="W380" t="s">
        <v>1347</v>
      </c>
      <c r="Y380" t="s">
        <v>30</v>
      </c>
      <c r="Z380" t="str">
        <f>IF(NOT("https://truemarkets3d.net/3d-virtual-tour/housingbank-realestate/phase3/aq-re-100027/index.html" = ""), HYPERLINK("https://truemarkets3d.net/3d-virtual-tour/housingbank-realestate/phase3/aq-re-100027/index.html", "جولة"), "")</f>
        <v>جولة</v>
      </c>
      <c r="AA380" t="str">
        <f>IF(NOT("https://maps.app.goo.gl/pzVXtMBLw2zSNrni6" = ""), HYPERLINK("https://maps.app.goo.gl/pzVXtMBLw2zSNrni6", "موقع"), "")</f>
        <v>موقع</v>
      </c>
    </row>
    <row r="381" spans="1:27" x14ac:dyDescent="0.3">
      <c r="A381" t="s">
        <v>1348</v>
      </c>
      <c r="B381" s="8">
        <v>46282.623217592591</v>
      </c>
      <c r="C381" t="s">
        <v>2</v>
      </c>
      <c r="D381" t="s">
        <v>59</v>
      </c>
      <c r="E381" t="s">
        <v>1185</v>
      </c>
      <c r="F381" t="s">
        <v>3230</v>
      </c>
      <c r="G381" t="s">
        <v>21</v>
      </c>
      <c r="H381" t="s">
        <v>1100</v>
      </c>
      <c r="I381" t="s">
        <v>1162</v>
      </c>
      <c r="J381" t="s">
        <v>1183</v>
      </c>
      <c r="K381" t="s">
        <v>1184</v>
      </c>
      <c r="L381">
        <v>131</v>
      </c>
      <c r="M381">
        <v>5170</v>
      </c>
      <c r="N381">
        <v>44000</v>
      </c>
      <c r="O381">
        <v>31.977667</v>
      </c>
      <c r="P381">
        <v>35.960250000000002</v>
      </c>
      <c r="Q381" t="s">
        <v>1349</v>
      </c>
      <c r="R381" t="s">
        <v>3231</v>
      </c>
      <c r="S381" t="s">
        <v>2579</v>
      </c>
      <c r="U381" t="s">
        <v>3232</v>
      </c>
      <c r="V381" t="s">
        <v>55</v>
      </c>
      <c r="W381" t="s">
        <v>1350</v>
      </c>
      <c r="Y381" t="s">
        <v>30</v>
      </c>
      <c r="Z381" t="str">
        <f>IF(NOT("https://truemarkets3d.net/3d-virtual-tour/housingbank-realestate/phase3/aq-re-100541/index.html" = ""), HYPERLINK("https://truemarkets3d.net/3d-virtual-tour/housingbank-realestate/phase3/aq-re-100541/index.html", "جولة"), "")</f>
        <v>جولة</v>
      </c>
      <c r="AA381" t="str">
        <f>IF(NOT("https://maps.app.goo.gl/UiNy15a7zMz9Q7ya8" = ""), HYPERLINK("https://maps.app.goo.gl/UiNy15a7zMz9Q7ya8", "موقع"), "")</f>
        <v>موقع</v>
      </c>
    </row>
    <row r="382" spans="1:27" x14ac:dyDescent="0.3">
      <c r="A382" t="s">
        <v>1351</v>
      </c>
      <c r="B382" s="8">
        <v>46282.623217592591</v>
      </c>
      <c r="C382" t="s">
        <v>2</v>
      </c>
      <c r="D382" t="s">
        <v>59</v>
      </c>
      <c r="E382" t="s">
        <v>1311</v>
      </c>
      <c r="F382" t="s">
        <v>3233</v>
      </c>
      <c r="G382" t="s">
        <v>21</v>
      </c>
      <c r="H382" t="s">
        <v>1100</v>
      </c>
      <c r="I382" t="s">
        <v>1263</v>
      </c>
      <c r="J382" t="s">
        <v>1309</v>
      </c>
      <c r="K382" t="s">
        <v>1310</v>
      </c>
      <c r="L382">
        <v>-112</v>
      </c>
      <c r="M382">
        <v>63</v>
      </c>
      <c r="N382">
        <v>44000</v>
      </c>
      <c r="O382">
        <v>32.060194000000003</v>
      </c>
      <c r="P382">
        <v>35.889000000000003</v>
      </c>
      <c r="Q382" t="s">
        <v>797</v>
      </c>
      <c r="S382" t="s">
        <v>2525</v>
      </c>
      <c r="U382" t="s">
        <v>3206</v>
      </c>
      <c r="V382" t="s">
        <v>33</v>
      </c>
      <c r="W382" t="s">
        <v>1352</v>
      </c>
      <c r="Y382" t="s">
        <v>30</v>
      </c>
      <c r="Z382" t="s">
        <v>30</v>
      </c>
      <c r="AA382" t="str">
        <f>IF(NOT("https://maps.app.goo.gl/boHCvhcK4sWuF6V77" = ""), HYPERLINK("https://maps.app.goo.gl/boHCvhcK4sWuF6V77", "موقع"), "")</f>
        <v>موقع</v>
      </c>
    </row>
    <row r="383" spans="1:27" x14ac:dyDescent="0.3">
      <c r="A383" t="s">
        <v>1353</v>
      </c>
      <c r="B383" s="8">
        <v>46282.623217592591</v>
      </c>
      <c r="C383" t="s">
        <v>2</v>
      </c>
      <c r="D383" t="s">
        <v>59</v>
      </c>
      <c r="E383" t="s">
        <v>1311</v>
      </c>
      <c r="F383" t="s">
        <v>3234</v>
      </c>
      <c r="G383" t="s">
        <v>21</v>
      </c>
      <c r="H383" t="s">
        <v>1100</v>
      </c>
      <c r="I383" t="s">
        <v>1263</v>
      </c>
      <c r="J383" t="s">
        <v>1309</v>
      </c>
      <c r="K383" t="s">
        <v>1310</v>
      </c>
      <c r="L383">
        <v>112</v>
      </c>
      <c r="M383">
        <v>63</v>
      </c>
      <c r="N383">
        <v>44000</v>
      </c>
      <c r="O383">
        <v>32.060194000000003</v>
      </c>
      <c r="P383">
        <v>35.889000000000003</v>
      </c>
      <c r="Q383" t="s">
        <v>1312</v>
      </c>
      <c r="S383" t="s">
        <v>2525</v>
      </c>
      <c r="U383" t="s">
        <v>3206</v>
      </c>
      <c r="V383" t="s">
        <v>43</v>
      </c>
      <c r="W383" t="s">
        <v>1354</v>
      </c>
      <c r="Y383" t="s">
        <v>30</v>
      </c>
      <c r="Z383" t="s">
        <v>30</v>
      </c>
      <c r="AA383" t="str">
        <f>IF(NOT("https://maps.app.goo.gl/boHCvhcK4sWuF6V77" = ""), HYPERLINK("https://maps.app.goo.gl/boHCvhcK4sWuF6V77", "موقع"), "")</f>
        <v>موقع</v>
      </c>
    </row>
    <row r="384" spans="1:27" x14ac:dyDescent="0.3">
      <c r="A384" t="s">
        <v>1355</v>
      </c>
      <c r="B384" s="8">
        <v>46282.623217592591</v>
      </c>
      <c r="C384" t="s">
        <v>2</v>
      </c>
      <c r="D384" t="s">
        <v>59</v>
      </c>
      <c r="E384" t="s">
        <v>1357</v>
      </c>
      <c r="F384" t="s">
        <v>3235</v>
      </c>
      <c r="G384" t="s">
        <v>21</v>
      </c>
      <c r="H384" t="s">
        <v>1100</v>
      </c>
      <c r="I384" t="s">
        <v>1143</v>
      </c>
      <c r="J384" t="s">
        <v>1153</v>
      </c>
      <c r="K384" t="s">
        <v>1356</v>
      </c>
      <c r="L384">
        <v>122</v>
      </c>
      <c r="M384">
        <v>1613</v>
      </c>
      <c r="N384">
        <v>45000</v>
      </c>
      <c r="O384">
        <v>31.935666999999999</v>
      </c>
      <c r="P384">
        <v>35.960500000000003</v>
      </c>
      <c r="Q384" t="s">
        <v>1358</v>
      </c>
      <c r="R384" t="s">
        <v>3236</v>
      </c>
      <c r="S384" t="s">
        <v>2579</v>
      </c>
      <c r="U384" t="s">
        <v>3237</v>
      </c>
      <c r="V384" t="s">
        <v>73</v>
      </c>
      <c r="W384" t="s">
        <v>1359</v>
      </c>
      <c r="Y384" t="s">
        <v>30</v>
      </c>
      <c r="Z384" t="str">
        <f>IF(NOT("https://truemarkets3d.net/3d-virtual-tour/housingbank-realestate/phase3/aq-re-100550/index.html" = ""), HYPERLINK("https://truemarkets3d.net/3d-virtual-tour/housingbank-realestate/phase3/aq-re-100550/index.html", "جولة"), "")</f>
        <v>جولة</v>
      </c>
      <c r="AA384" t="str">
        <f>IF(NOT("https://maps.app.goo.gl/C8CZpFrFQDzqTPbB9" = ""), HYPERLINK("https://maps.app.goo.gl/C8CZpFrFQDzqTPbB9", "موقع"), "")</f>
        <v>موقع</v>
      </c>
    </row>
    <row r="385" spans="1:27" x14ac:dyDescent="0.3">
      <c r="A385" t="s">
        <v>1360</v>
      </c>
      <c r="B385" s="8">
        <v>46282.623217592591</v>
      </c>
      <c r="C385" t="s">
        <v>2</v>
      </c>
      <c r="D385" t="s">
        <v>59</v>
      </c>
      <c r="E385" t="s">
        <v>1293</v>
      </c>
      <c r="F385" t="s">
        <v>3238</v>
      </c>
      <c r="G385" t="s">
        <v>21</v>
      </c>
      <c r="H385" t="s">
        <v>1100</v>
      </c>
      <c r="I385" t="s">
        <v>1101</v>
      </c>
      <c r="J385" t="s">
        <v>1102</v>
      </c>
      <c r="K385" t="s">
        <v>1292</v>
      </c>
      <c r="L385">
        <v>-103</v>
      </c>
      <c r="M385">
        <v>1570</v>
      </c>
      <c r="N385">
        <v>46000</v>
      </c>
      <c r="O385">
        <v>31.913194000000001</v>
      </c>
      <c r="P385">
        <v>35.886000000000003</v>
      </c>
      <c r="Q385" t="s">
        <v>1215</v>
      </c>
      <c r="R385" t="s">
        <v>3239</v>
      </c>
      <c r="S385" t="s">
        <v>2579</v>
      </c>
      <c r="U385" t="s">
        <v>3240</v>
      </c>
      <c r="V385" t="s">
        <v>33</v>
      </c>
      <c r="W385" t="s">
        <v>1361</v>
      </c>
      <c r="Y385" t="s">
        <v>30</v>
      </c>
      <c r="Z385" t="str">
        <f>IF(NOT("https://truemarkets3d.net/3d-virtual-tour/housingbank-realestate/phase3/aq-re-100014/index.html" = ""), HYPERLINK("https://truemarkets3d.net/3d-virtual-tour/housingbank-realestate/phase3/aq-re-100014/index.html", "جولة"), "")</f>
        <v>جولة</v>
      </c>
      <c r="AA385" t="str">
        <f>IF(NOT("https://maps.app.goo.gl/8TyRfcepVexCGndS9" = ""), HYPERLINK("https://maps.app.goo.gl/8TyRfcepVexCGndS9", "موقع"), "")</f>
        <v>موقع</v>
      </c>
    </row>
    <row r="386" spans="1:27" x14ac:dyDescent="0.3">
      <c r="A386" t="s">
        <v>1362</v>
      </c>
      <c r="B386" s="8">
        <v>46282.623217592591</v>
      </c>
      <c r="C386" t="s">
        <v>2</v>
      </c>
      <c r="D386" t="s">
        <v>59</v>
      </c>
      <c r="E386" t="s">
        <v>225</v>
      </c>
      <c r="F386" t="s">
        <v>3241</v>
      </c>
      <c r="G386" t="s">
        <v>21</v>
      </c>
      <c r="H386" t="s">
        <v>1100</v>
      </c>
      <c r="I386" t="s">
        <v>1263</v>
      </c>
      <c r="J386" t="s">
        <v>1329</v>
      </c>
      <c r="K386" t="s">
        <v>1363</v>
      </c>
      <c r="L386">
        <v>132</v>
      </c>
      <c r="M386">
        <v>267</v>
      </c>
      <c r="N386">
        <v>46000</v>
      </c>
      <c r="O386">
        <v>32.021444000000002</v>
      </c>
      <c r="P386">
        <v>35.862917000000003</v>
      </c>
      <c r="Q386" t="s">
        <v>1044</v>
      </c>
      <c r="R386" t="s">
        <v>3242</v>
      </c>
      <c r="S386" t="s">
        <v>2579</v>
      </c>
      <c r="U386" t="s">
        <v>3243</v>
      </c>
      <c r="V386" t="s">
        <v>55</v>
      </c>
      <c r="W386" t="s">
        <v>1364</v>
      </c>
      <c r="X386" t="s">
        <v>3244</v>
      </c>
      <c r="Y386" t="str">
        <f>IF(NOT("https://www.youtube.com/embed/w5LDp-sbq7U" = ""), HYPERLINK("https://www.youtube.com/embed/w5LDp-sbq7U", "فيديو"), "")</f>
        <v>فيديو</v>
      </c>
      <c r="Z386" t="str">
        <f>IF(NOT("https://truemarkets3d.net/3d-virtual-tour/housingbank-realestate/phase3/aq-re-100711/index.html" = ""), HYPERLINK("https://truemarkets3d.net/3d-virtual-tour/housingbank-realestate/phase3/aq-re-100711/index.html", "جولة"), "")</f>
        <v>جولة</v>
      </c>
      <c r="AA386" t="str">
        <f>IF(NOT("https://maps.app.goo.gl/jYFKLPUhbgENKsww7" = ""), HYPERLINK("https://maps.app.goo.gl/jYFKLPUhbgENKsww7", "موقع"), "")</f>
        <v>موقع</v>
      </c>
    </row>
    <row r="387" spans="1:27" x14ac:dyDescent="0.3">
      <c r="A387" t="s">
        <v>1365</v>
      </c>
      <c r="B387" s="8">
        <v>46282.623217592591</v>
      </c>
      <c r="C387" t="s">
        <v>2</v>
      </c>
      <c r="D387" t="s">
        <v>59</v>
      </c>
      <c r="E387" t="s">
        <v>1331</v>
      </c>
      <c r="F387" t="s">
        <v>3245</v>
      </c>
      <c r="G387" t="s">
        <v>21</v>
      </c>
      <c r="H387" t="s">
        <v>1100</v>
      </c>
      <c r="I387" t="s">
        <v>1263</v>
      </c>
      <c r="J387" t="s">
        <v>1329</v>
      </c>
      <c r="K387" t="s">
        <v>1363</v>
      </c>
      <c r="L387">
        <v>134</v>
      </c>
      <c r="M387">
        <v>267</v>
      </c>
      <c r="N387">
        <v>47000</v>
      </c>
      <c r="O387">
        <v>32.021444000000002</v>
      </c>
      <c r="P387">
        <v>35.862917000000003</v>
      </c>
      <c r="Q387" t="s">
        <v>294</v>
      </c>
      <c r="R387" t="s">
        <v>3246</v>
      </c>
      <c r="S387" t="s">
        <v>2579</v>
      </c>
      <c r="U387" t="s">
        <v>3247</v>
      </c>
      <c r="V387" t="s">
        <v>55</v>
      </c>
      <c r="W387" t="s">
        <v>1366</v>
      </c>
      <c r="Y387" t="s">
        <v>30</v>
      </c>
      <c r="Z387" t="str">
        <f>IF(NOT("https://truemarkets3d.net/3d-virtual-tour/housingbank-realestate/phase3/aq-re-100169/index.html" = ""), HYPERLINK("https://truemarkets3d.net/3d-virtual-tour/housingbank-realestate/phase3/aq-re-100169/index.html", "جولة"), "")</f>
        <v>جولة</v>
      </c>
      <c r="AA387" t="str">
        <f>IF(NOT("https://maps.app.goo.gl/peiScTgvKRJSFmbp7" = ""), HYPERLINK("https://maps.app.goo.gl/peiScTgvKRJSFmbp7", "موقع"), "")</f>
        <v>موقع</v>
      </c>
    </row>
    <row r="388" spans="1:27" x14ac:dyDescent="0.3">
      <c r="A388" t="s">
        <v>1367</v>
      </c>
      <c r="B388" s="8">
        <v>46282.623217592591</v>
      </c>
      <c r="C388" t="s">
        <v>2</v>
      </c>
      <c r="D388" t="s">
        <v>59</v>
      </c>
      <c r="E388" t="s">
        <v>1289</v>
      </c>
      <c r="F388" t="s">
        <v>3248</v>
      </c>
      <c r="G388" t="s">
        <v>21</v>
      </c>
      <c r="H388" t="s">
        <v>1100</v>
      </c>
      <c r="I388" t="s">
        <v>1162</v>
      </c>
      <c r="J388" t="s">
        <v>1183</v>
      </c>
      <c r="K388" t="s">
        <v>1184</v>
      </c>
      <c r="L388">
        <v>-101</v>
      </c>
      <c r="M388">
        <v>6762</v>
      </c>
      <c r="N388">
        <v>47000</v>
      </c>
      <c r="O388">
        <v>31.984999999999999</v>
      </c>
      <c r="P388">
        <v>35.949333000000003</v>
      </c>
      <c r="Q388" t="s">
        <v>1323</v>
      </c>
      <c r="S388" t="s">
        <v>2525</v>
      </c>
      <c r="U388" t="s">
        <v>3249</v>
      </c>
      <c r="V388" t="s">
        <v>28</v>
      </c>
      <c r="W388" t="s">
        <v>1368</v>
      </c>
      <c r="Y388" t="s">
        <v>30</v>
      </c>
      <c r="Z388" t="s">
        <v>30</v>
      </c>
      <c r="AA388" t="str">
        <f>IF(NOT("https://maps.app.goo.gl/1rqMktQnzQcfXMkH8" = ""), HYPERLINK("https://maps.app.goo.gl/1rqMktQnzQcfXMkH8", "موقع"), "")</f>
        <v>موقع</v>
      </c>
    </row>
    <row r="389" spans="1:27" x14ac:dyDescent="0.3">
      <c r="A389" t="s">
        <v>1369</v>
      </c>
      <c r="B389" s="8">
        <v>46282.623217592591</v>
      </c>
      <c r="C389" t="s">
        <v>2</v>
      </c>
      <c r="D389" t="s">
        <v>59</v>
      </c>
      <c r="E389" t="s">
        <v>1279</v>
      </c>
      <c r="F389" t="s">
        <v>2932</v>
      </c>
      <c r="G389" t="s">
        <v>21</v>
      </c>
      <c r="H389" t="s">
        <v>1100</v>
      </c>
      <c r="I389" t="s">
        <v>1162</v>
      </c>
      <c r="J389" t="s">
        <v>1277</v>
      </c>
      <c r="K389" t="s">
        <v>1322</v>
      </c>
      <c r="L389">
        <v>131</v>
      </c>
      <c r="M389">
        <v>224</v>
      </c>
      <c r="N389">
        <v>47000</v>
      </c>
      <c r="O389">
        <v>31.998528</v>
      </c>
      <c r="P389">
        <v>35.968139000000001</v>
      </c>
      <c r="Q389" t="s">
        <v>1186</v>
      </c>
      <c r="S389" t="s">
        <v>2525</v>
      </c>
      <c r="U389" t="s">
        <v>3250</v>
      </c>
      <c r="V389" t="s">
        <v>55</v>
      </c>
      <c r="W389" t="s">
        <v>1370</v>
      </c>
      <c r="Y389" t="s">
        <v>30</v>
      </c>
      <c r="Z389" t="s">
        <v>30</v>
      </c>
      <c r="AA389" t="str">
        <f>IF(NOT("https://maps.app.goo.gl/qES9kPF7162SJyoE8" = ""), HYPERLINK("https://maps.app.goo.gl/qES9kPF7162SJyoE8", "موقع"), "")</f>
        <v>موقع</v>
      </c>
    </row>
    <row r="390" spans="1:27" x14ac:dyDescent="0.3">
      <c r="A390" t="s">
        <v>1371</v>
      </c>
      <c r="B390" s="8">
        <v>46282.623217592591</v>
      </c>
      <c r="C390" t="s">
        <v>2</v>
      </c>
      <c r="D390" t="s">
        <v>59</v>
      </c>
      <c r="E390" t="s">
        <v>1279</v>
      </c>
      <c r="F390" t="s">
        <v>3251</v>
      </c>
      <c r="G390" t="s">
        <v>21</v>
      </c>
      <c r="H390" t="s">
        <v>1100</v>
      </c>
      <c r="I390" t="s">
        <v>1162</v>
      </c>
      <c r="J390" t="s">
        <v>1277</v>
      </c>
      <c r="K390" t="s">
        <v>1278</v>
      </c>
      <c r="L390">
        <v>122</v>
      </c>
      <c r="M390">
        <v>1175</v>
      </c>
      <c r="N390">
        <v>47000</v>
      </c>
      <c r="Q390" t="s">
        <v>160</v>
      </c>
      <c r="S390" t="s">
        <v>2525</v>
      </c>
      <c r="V390" t="s">
        <v>73</v>
      </c>
      <c r="W390" t="s">
        <v>1372</v>
      </c>
      <c r="Y390" t="s">
        <v>30</v>
      </c>
      <c r="Z390" t="s">
        <v>30</v>
      </c>
      <c r="AA390" t="s">
        <v>30</v>
      </c>
    </row>
    <row r="391" spans="1:27" x14ac:dyDescent="0.3">
      <c r="A391" t="s">
        <v>1373</v>
      </c>
      <c r="B391" s="8">
        <v>46282.623217592591</v>
      </c>
      <c r="C391" t="s">
        <v>2</v>
      </c>
      <c r="D391" t="s">
        <v>59</v>
      </c>
      <c r="E391" t="s">
        <v>1279</v>
      </c>
      <c r="F391" t="s">
        <v>2799</v>
      </c>
      <c r="G391" t="s">
        <v>21</v>
      </c>
      <c r="H391" t="s">
        <v>1100</v>
      </c>
      <c r="I391" t="s">
        <v>1162</v>
      </c>
      <c r="J391" t="s">
        <v>1277</v>
      </c>
      <c r="K391" t="s">
        <v>1322</v>
      </c>
      <c r="L391">
        <v>132</v>
      </c>
      <c r="M391">
        <v>2779</v>
      </c>
      <c r="N391">
        <v>47000</v>
      </c>
      <c r="O391">
        <v>31.992916999999998</v>
      </c>
      <c r="P391">
        <v>35.961500000000001</v>
      </c>
      <c r="Q391" t="s">
        <v>208</v>
      </c>
      <c r="S391" t="s">
        <v>2525</v>
      </c>
      <c r="U391" t="s">
        <v>3252</v>
      </c>
      <c r="V391" t="s">
        <v>55</v>
      </c>
      <c r="W391" t="s">
        <v>1374</v>
      </c>
      <c r="Y391" t="s">
        <v>30</v>
      </c>
      <c r="Z391" t="s">
        <v>30</v>
      </c>
      <c r="AA391" t="str">
        <f>IF(NOT("https://maps.app.goo.gl/7EN8Zya1qa4zmhRH9" = ""), HYPERLINK("https://maps.app.goo.gl/7EN8Zya1qa4zmhRH9", "موقع"), "")</f>
        <v>موقع</v>
      </c>
    </row>
    <row r="392" spans="1:27" x14ac:dyDescent="0.3">
      <c r="A392" t="s">
        <v>1375</v>
      </c>
      <c r="B392" s="8">
        <v>46282.623217592591</v>
      </c>
      <c r="C392" t="s">
        <v>2</v>
      </c>
      <c r="D392" t="s">
        <v>59</v>
      </c>
      <c r="E392" t="s">
        <v>1279</v>
      </c>
      <c r="F392" t="s">
        <v>3253</v>
      </c>
      <c r="G392" t="s">
        <v>21</v>
      </c>
      <c r="H392" t="s">
        <v>1100</v>
      </c>
      <c r="I392" t="s">
        <v>1162</v>
      </c>
      <c r="J392" t="s">
        <v>1277</v>
      </c>
      <c r="K392" t="s">
        <v>1322</v>
      </c>
      <c r="L392">
        <v>122</v>
      </c>
      <c r="M392">
        <v>2779</v>
      </c>
      <c r="N392">
        <v>48000</v>
      </c>
      <c r="O392">
        <v>31.992916999999998</v>
      </c>
      <c r="P392">
        <v>35.961500000000001</v>
      </c>
      <c r="Q392" t="s">
        <v>208</v>
      </c>
      <c r="S392" t="s">
        <v>2525</v>
      </c>
      <c r="U392" t="s">
        <v>3252</v>
      </c>
      <c r="V392" t="s">
        <v>73</v>
      </c>
      <c r="W392" t="s">
        <v>1376</v>
      </c>
      <c r="Y392" t="s">
        <v>30</v>
      </c>
      <c r="Z392" t="s">
        <v>30</v>
      </c>
      <c r="AA392" t="str">
        <f>IF(NOT("https://maps.app.goo.gl/7EN8Zya1qa4zmhRH9" = ""), HYPERLINK("https://maps.app.goo.gl/7EN8Zya1qa4zmhRH9", "موقع"), "")</f>
        <v>موقع</v>
      </c>
    </row>
    <row r="393" spans="1:27" x14ac:dyDescent="0.3">
      <c r="A393" t="s">
        <v>1377</v>
      </c>
      <c r="B393" s="8">
        <v>46282.623217592591</v>
      </c>
      <c r="C393" t="s">
        <v>2</v>
      </c>
      <c r="D393" t="s">
        <v>59</v>
      </c>
      <c r="E393" t="s">
        <v>1165</v>
      </c>
      <c r="F393" t="s">
        <v>3254</v>
      </c>
      <c r="G393" t="s">
        <v>21</v>
      </c>
      <c r="H393" t="s">
        <v>1100</v>
      </c>
      <c r="I393" t="s">
        <v>1162</v>
      </c>
      <c r="J393" t="s">
        <v>1163</v>
      </c>
      <c r="K393" t="s">
        <v>1378</v>
      </c>
      <c r="L393">
        <v>131</v>
      </c>
      <c r="M393">
        <v>2566</v>
      </c>
      <c r="N393">
        <v>48000</v>
      </c>
      <c r="Q393" t="s">
        <v>277</v>
      </c>
      <c r="S393" t="s">
        <v>2525</v>
      </c>
      <c r="V393" t="s">
        <v>55</v>
      </c>
      <c r="W393" t="s">
        <v>1379</v>
      </c>
      <c r="Y393" t="s">
        <v>30</v>
      </c>
      <c r="Z393" t="s">
        <v>30</v>
      </c>
      <c r="AA393" t="s">
        <v>30</v>
      </c>
    </row>
    <row r="394" spans="1:27" x14ac:dyDescent="0.3">
      <c r="A394" t="s">
        <v>1380</v>
      </c>
      <c r="B394" s="8">
        <v>46282.623217592591</v>
      </c>
      <c r="C394" t="s">
        <v>2</v>
      </c>
      <c r="D394" t="s">
        <v>59</v>
      </c>
      <c r="E394" t="s">
        <v>1383</v>
      </c>
      <c r="F394" t="s">
        <v>3255</v>
      </c>
      <c r="G394" t="s">
        <v>21</v>
      </c>
      <c r="H394" t="s">
        <v>1100</v>
      </c>
      <c r="I394" t="s">
        <v>1263</v>
      </c>
      <c r="J394" t="s">
        <v>1381</v>
      </c>
      <c r="K394" t="s">
        <v>1382</v>
      </c>
      <c r="L394">
        <v>122</v>
      </c>
      <c r="M394">
        <v>801</v>
      </c>
      <c r="N394">
        <v>48000</v>
      </c>
      <c r="O394">
        <v>32.002861000000003</v>
      </c>
      <c r="P394">
        <v>35.862250000000003</v>
      </c>
      <c r="Q394" t="s">
        <v>1384</v>
      </c>
      <c r="S394" t="s">
        <v>2525</v>
      </c>
      <c r="U394" t="s">
        <v>3256</v>
      </c>
      <c r="V394" t="s">
        <v>73</v>
      </c>
      <c r="W394" t="s">
        <v>1385</v>
      </c>
      <c r="Y394" t="s">
        <v>30</v>
      </c>
      <c r="Z394" t="s">
        <v>30</v>
      </c>
      <c r="AA394" t="str">
        <f>IF(NOT("https://maps.app.goo.gl/JTxDjVi5xfoQLkK18" = ""), HYPERLINK("https://maps.app.goo.gl/JTxDjVi5xfoQLkK18", "موقع"), "")</f>
        <v>موقع</v>
      </c>
    </row>
    <row r="395" spans="1:27" x14ac:dyDescent="0.3">
      <c r="A395" t="s">
        <v>1386</v>
      </c>
      <c r="B395" s="8">
        <v>46282.623217592591</v>
      </c>
      <c r="C395" t="s">
        <v>2</v>
      </c>
      <c r="D395" t="s">
        <v>59</v>
      </c>
      <c r="E395" t="s">
        <v>1293</v>
      </c>
      <c r="F395" t="s">
        <v>3257</v>
      </c>
      <c r="G395" t="s">
        <v>21</v>
      </c>
      <c r="H395" t="s">
        <v>1100</v>
      </c>
      <c r="I395" t="s">
        <v>1101</v>
      </c>
      <c r="J395" t="s">
        <v>1102</v>
      </c>
      <c r="K395" t="s">
        <v>1292</v>
      </c>
      <c r="L395">
        <v>132</v>
      </c>
      <c r="M395">
        <v>52</v>
      </c>
      <c r="N395">
        <v>49000</v>
      </c>
      <c r="O395">
        <v>31.918889</v>
      </c>
      <c r="P395">
        <v>35.884721999999996</v>
      </c>
      <c r="Q395" t="s">
        <v>160</v>
      </c>
      <c r="S395" t="s">
        <v>2525</v>
      </c>
      <c r="U395" t="s">
        <v>3258</v>
      </c>
      <c r="V395" t="s">
        <v>55</v>
      </c>
      <c r="W395" t="s">
        <v>1387</v>
      </c>
      <c r="Y395" t="s">
        <v>30</v>
      </c>
      <c r="Z395" t="s">
        <v>30</v>
      </c>
      <c r="AA395" t="str">
        <f>IF(NOT("https://maps.app.goo.gl/uXXBmmsY9qrxGAK68" = ""), HYPERLINK("https://maps.app.goo.gl/uXXBmmsY9qrxGAK68", "موقع"), "")</f>
        <v>موقع</v>
      </c>
    </row>
    <row r="396" spans="1:27" x14ac:dyDescent="0.3">
      <c r="A396" t="s">
        <v>1388</v>
      </c>
      <c r="B396" s="8">
        <v>46282.623217592591</v>
      </c>
      <c r="C396" t="s">
        <v>2</v>
      </c>
      <c r="D396" t="s">
        <v>59</v>
      </c>
      <c r="E396" t="s">
        <v>1165</v>
      </c>
      <c r="F396" t="s">
        <v>3259</v>
      </c>
      <c r="G396" t="s">
        <v>21</v>
      </c>
      <c r="H396" t="s">
        <v>1100</v>
      </c>
      <c r="I396" t="s">
        <v>1162</v>
      </c>
      <c r="J396" t="s">
        <v>1163</v>
      </c>
      <c r="K396" t="s">
        <v>1378</v>
      </c>
      <c r="L396">
        <v>121</v>
      </c>
      <c r="M396">
        <v>2566</v>
      </c>
      <c r="N396">
        <v>49000</v>
      </c>
      <c r="Q396" t="s">
        <v>277</v>
      </c>
      <c r="S396" t="s">
        <v>2525</v>
      </c>
      <c r="V396" t="s">
        <v>73</v>
      </c>
      <c r="W396" t="s">
        <v>1389</v>
      </c>
      <c r="Y396" t="s">
        <v>30</v>
      </c>
      <c r="Z396" t="s">
        <v>30</v>
      </c>
      <c r="AA396" t="s">
        <v>30</v>
      </c>
    </row>
    <row r="397" spans="1:27" x14ac:dyDescent="0.3">
      <c r="A397" t="s">
        <v>1390</v>
      </c>
      <c r="B397" s="8">
        <v>46282.623217592591</v>
      </c>
      <c r="C397" t="s">
        <v>2</v>
      </c>
      <c r="D397" t="s">
        <v>59</v>
      </c>
      <c r="E397" t="s">
        <v>154</v>
      </c>
      <c r="F397" t="s">
        <v>3260</v>
      </c>
      <c r="G397" t="s">
        <v>21</v>
      </c>
      <c r="H397" t="s">
        <v>1100</v>
      </c>
      <c r="I397" t="s">
        <v>1263</v>
      </c>
      <c r="J397" t="s">
        <v>1381</v>
      </c>
      <c r="K397" t="s">
        <v>1391</v>
      </c>
      <c r="L397">
        <v>-101</v>
      </c>
      <c r="M397">
        <v>2141</v>
      </c>
      <c r="N397">
        <v>49000</v>
      </c>
      <c r="Q397" t="s">
        <v>1392</v>
      </c>
      <c r="S397" t="s">
        <v>2525</v>
      </c>
      <c r="V397" t="s">
        <v>28</v>
      </c>
      <c r="W397" t="s">
        <v>1393</v>
      </c>
      <c r="Y397" t="s">
        <v>30</v>
      </c>
      <c r="Z397" t="s">
        <v>30</v>
      </c>
      <c r="AA397" t="s">
        <v>30</v>
      </c>
    </row>
    <row r="398" spans="1:27" x14ac:dyDescent="0.3">
      <c r="A398" t="s">
        <v>1394</v>
      </c>
      <c r="B398" s="8">
        <v>46282.623217592591</v>
      </c>
      <c r="C398" t="s">
        <v>2</v>
      </c>
      <c r="D398" t="s">
        <v>59</v>
      </c>
      <c r="E398" t="s">
        <v>1311</v>
      </c>
      <c r="F398" t="s">
        <v>3261</v>
      </c>
      <c r="G398" t="s">
        <v>21</v>
      </c>
      <c r="H398" t="s">
        <v>1100</v>
      </c>
      <c r="I398" t="s">
        <v>1263</v>
      </c>
      <c r="J398" t="s">
        <v>1309</v>
      </c>
      <c r="K398" t="s">
        <v>1310</v>
      </c>
      <c r="L398">
        <v>131</v>
      </c>
      <c r="M398">
        <v>63</v>
      </c>
      <c r="N398">
        <v>49000</v>
      </c>
      <c r="O398">
        <v>32.060194000000003</v>
      </c>
      <c r="P398">
        <v>35.889000000000003</v>
      </c>
      <c r="Q398" t="s">
        <v>175</v>
      </c>
      <c r="S398" t="s">
        <v>2525</v>
      </c>
      <c r="U398" t="s">
        <v>3206</v>
      </c>
      <c r="V398" t="s">
        <v>55</v>
      </c>
      <c r="W398" t="s">
        <v>1395</v>
      </c>
      <c r="Y398" t="s">
        <v>30</v>
      </c>
      <c r="Z398" t="s">
        <v>30</v>
      </c>
      <c r="AA398" t="str">
        <f>IF(NOT("https://maps.app.goo.gl/boHCvhcK4sWuF6V77" = ""), HYPERLINK("https://maps.app.goo.gl/boHCvhcK4sWuF6V77", "موقع"), "")</f>
        <v>موقع</v>
      </c>
    </row>
    <row r="399" spans="1:27" x14ac:dyDescent="0.3">
      <c r="A399" t="s">
        <v>1396</v>
      </c>
      <c r="B399" s="8">
        <v>46282.623217592591</v>
      </c>
      <c r="C399" t="s">
        <v>2</v>
      </c>
      <c r="D399" t="s">
        <v>59</v>
      </c>
      <c r="E399" t="s">
        <v>1165</v>
      </c>
      <c r="F399" t="s">
        <v>3262</v>
      </c>
      <c r="G399" t="s">
        <v>21</v>
      </c>
      <c r="H399" t="s">
        <v>1100</v>
      </c>
      <c r="I399" t="s">
        <v>1162</v>
      </c>
      <c r="J399" t="s">
        <v>1163</v>
      </c>
      <c r="K399" t="s">
        <v>1378</v>
      </c>
      <c r="L399">
        <v>111</v>
      </c>
      <c r="M399">
        <v>2566</v>
      </c>
      <c r="N399">
        <v>50000</v>
      </c>
      <c r="Q399" t="s">
        <v>277</v>
      </c>
      <c r="S399" t="s">
        <v>2525</v>
      </c>
      <c r="V399" t="s">
        <v>43</v>
      </c>
      <c r="W399" t="s">
        <v>1397</v>
      </c>
      <c r="Y399" t="s">
        <v>30</v>
      </c>
      <c r="Z399" t="s">
        <v>30</v>
      </c>
      <c r="AA399" t="s">
        <v>30</v>
      </c>
    </row>
    <row r="400" spans="1:27" x14ac:dyDescent="0.3">
      <c r="A400" t="s">
        <v>1398</v>
      </c>
      <c r="B400" s="8">
        <v>46282.623217592591</v>
      </c>
      <c r="C400" t="s">
        <v>2</v>
      </c>
      <c r="D400" t="s">
        <v>59</v>
      </c>
      <c r="E400" t="s">
        <v>1331</v>
      </c>
      <c r="F400" t="s">
        <v>3263</v>
      </c>
      <c r="G400" t="s">
        <v>21</v>
      </c>
      <c r="H400" t="s">
        <v>1100</v>
      </c>
      <c r="I400" t="s">
        <v>1263</v>
      </c>
      <c r="J400" t="s">
        <v>1399</v>
      </c>
      <c r="K400" t="s">
        <v>1400</v>
      </c>
      <c r="L400">
        <v>-101</v>
      </c>
      <c r="M400">
        <v>299</v>
      </c>
      <c r="N400">
        <v>50000</v>
      </c>
      <c r="O400">
        <v>32.027721999999997</v>
      </c>
      <c r="P400">
        <v>35.851917</v>
      </c>
      <c r="Q400" t="s">
        <v>1401</v>
      </c>
      <c r="S400" t="s">
        <v>2525</v>
      </c>
      <c r="U400" t="s">
        <v>3264</v>
      </c>
      <c r="V400" t="s">
        <v>28</v>
      </c>
      <c r="W400" t="s">
        <v>1402</v>
      </c>
      <c r="Y400" t="s">
        <v>30</v>
      </c>
      <c r="Z400" t="s">
        <v>30</v>
      </c>
      <c r="AA400" t="str">
        <f>IF(NOT("https://maps.app.goo.gl/JBx5mcD1pSNku9H87" = ""), HYPERLINK("https://maps.app.goo.gl/JBx5mcD1pSNku9H87", "موقع"), "")</f>
        <v>موقع</v>
      </c>
    </row>
    <row r="401" spans="1:27" x14ac:dyDescent="0.3">
      <c r="A401" t="s">
        <v>1403</v>
      </c>
      <c r="B401" s="8">
        <v>46282.623217592591</v>
      </c>
      <c r="C401" t="s">
        <v>2</v>
      </c>
      <c r="D401" t="s">
        <v>59</v>
      </c>
      <c r="E401" t="s">
        <v>1279</v>
      </c>
      <c r="F401" t="s">
        <v>3265</v>
      </c>
      <c r="G401" t="s">
        <v>21</v>
      </c>
      <c r="H401" t="s">
        <v>1100</v>
      </c>
      <c r="I401" t="s">
        <v>1162</v>
      </c>
      <c r="J401" t="s">
        <v>1277</v>
      </c>
      <c r="K401" t="s">
        <v>1326</v>
      </c>
      <c r="L401">
        <v>131</v>
      </c>
      <c r="M401">
        <v>2518</v>
      </c>
      <c r="N401">
        <v>50000</v>
      </c>
      <c r="Q401" t="s">
        <v>160</v>
      </c>
      <c r="S401" t="s">
        <v>2525</v>
      </c>
      <c r="V401" t="s">
        <v>55</v>
      </c>
      <c r="W401" t="s">
        <v>1404</v>
      </c>
      <c r="Y401" t="s">
        <v>30</v>
      </c>
      <c r="Z401" t="s">
        <v>30</v>
      </c>
      <c r="AA401" t="s">
        <v>30</v>
      </c>
    </row>
    <row r="402" spans="1:27" x14ac:dyDescent="0.3">
      <c r="A402" t="s">
        <v>1405</v>
      </c>
      <c r="B402" s="8">
        <v>46282.623217592591</v>
      </c>
      <c r="C402" t="s">
        <v>2</v>
      </c>
      <c r="D402" t="s">
        <v>59</v>
      </c>
      <c r="E402" t="s">
        <v>1279</v>
      </c>
      <c r="F402" t="s">
        <v>3266</v>
      </c>
      <c r="G402" t="s">
        <v>21</v>
      </c>
      <c r="H402" t="s">
        <v>1100</v>
      </c>
      <c r="I402" t="s">
        <v>1162</v>
      </c>
      <c r="J402" t="s">
        <v>1277</v>
      </c>
      <c r="K402" t="s">
        <v>1322</v>
      </c>
      <c r="L402">
        <v>-111</v>
      </c>
      <c r="M402">
        <v>1179</v>
      </c>
      <c r="N402">
        <v>51000</v>
      </c>
      <c r="O402">
        <v>31.986360999999999</v>
      </c>
      <c r="P402">
        <v>35.964694000000001</v>
      </c>
      <c r="Q402" t="s">
        <v>1406</v>
      </c>
      <c r="R402" t="s">
        <v>3267</v>
      </c>
      <c r="S402" t="s">
        <v>2579</v>
      </c>
      <c r="U402" t="s">
        <v>3268</v>
      </c>
      <c r="V402" t="s">
        <v>33</v>
      </c>
      <c r="W402" t="s">
        <v>1407</v>
      </c>
      <c r="Y402" t="s">
        <v>30</v>
      </c>
      <c r="Z402" t="str">
        <f>IF(NOT("https://truemarkets3d.net/3d-virtual-tour/housingbank-realestate/phase3/aq-re-100549/index.html" = ""), HYPERLINK("https://truemarkets3d.net/3d-virtual-tour/housingbank-realestate/phase3/aq-re-100549/index.html", "جولة"), "")</f>
        <v>جولة</v>
      </c>
      <c r="AA402" t="str">
        <f>IF(NOT("https://maps.app.goo.gl/GUpiRafg5JQda89X7" = ""), HYPERLINK("https://maps.app.goo.gl/GUpiRafg5JQda89X7", "موقع"), "")</f>
        <v>موقع</v>
      </c>
    </row>
    <row r="403" spans="1:27" x14ac:dyDescent="0.3">
      <c r="A403" t="s">
        <v>1408</v>
      </c>
      <c r="B403" s="8">
        <v>46282.623217592591</v>
      </c>
      <c r="C403" t="s">
        <v>2</v>
      </c>
      <c r="D403" t="s">
        <v>59</v>
      </c>
      <c r="E403" t="s">
        <v>1311</v>
      </c>
      <c r="F403" t="s">
        <v>3269</v>
      </c>
      <c r="G403" t="s">
        <v>21</v>
      </c>
      <c r="H403" t="s">
        <v>1100</v>
      </c>
      <c r="I403" t="s">
        <v>1263</v>
      </c>
      <c r="J403" t="s">
        <v>1309</v>
      </c>
      <c r="K403" t="s">
        <v>1310</v>
      </c>
      <c r="L403">
        <v>121</v>
      </c>
      <c r="M403">
        <v>63</v>
      </c>
      <c r="N403">
        <v>51000</v>
      </c>
      <c r="O403">
        <v>32.060194000000003</v>
      </c>
      <c r="P403">
        <v>35.889000000000003</v>
      </c>
      <c r="Q403" t="s">
        <v>175</v>
      </c>
      <c r="S403" t="s">
        <v>2525</v>
      </c>
      <c r="U403" t="s">
        <v>3206</v>
      </c>
      <c r="V403" t="s">
        <v>73</v>
      </c>
      <c r="W403" t="s">
        <v>1409</v>
      </c>
      <c r="Y403" t="s">
        <v>30</v>
      </c>
      <c r="Z403" t="s">
        <v>30</v>
      </c>
      <c r="AA403" t="str">
        <f>IF(NOT("https://maps.app.goo.gl/boHCvhcK4sWuF6V77" = ""), HYPERLINK("https://maps.app.goo.gl/boHCvhcK4sWuF6V77", "موقع"), "")</f>
        <v>موقع</v>
      </c>
    </row>
    <row r="404" spans="1:27" x14ac:dyDescent="0.3">
      <c r="A404" t="s">
        <v>1410</v>
      </c>
      <c r="B404" s="8">
        <v>46282.623217592591</v>
      </c>
      <c r="C404" t="s">
        <v>2</v>
      </c>
      <c r="D404" t="s">
        <v>59</v>
      </c>
      <c r="E404" t="s">
        <v>1209</v>
      </c>
      <c r="F404" t="s">
        <v>3270</v>
      </c>
      <c r="G404" t="s">
        <v>21</v>
      </c>
      <c r="H404" t="s">
        <v>1100</v>
      </c>
      <c r="I404" t="s">
        <v>1143</v>
      </c>
      <c r="J404" t="s">
        <v>1153</v>
      </c>
      <c r="K404" t="s">
        <v>1411</v>
      </c>
      <c r="L404">
        <v>131</v>
      </c>
      <c r="M404">
        <v>2080</v>
      </c>
      <c r="N404">
        <v>51000</v>
      </c>
      <c r="O404">
        <v>31.911943999999998</v>
      </c>
      <c r="P404">
        <v>35.952916999999999</v>
      </c>
      <c r="Q404" t="s">
        <v>160</v>
      </c>
      <c r="R404" t="s">
        <v>3271</v>
      </c>
      <c r="S404" t="s">
        <v>2579</v>
      </c>
      <c r="U404" t="s">
        <v>3272</v>
      </c>
      <c r="V404" t="s">
        <v>55</v>
      </c>
      <c r="W404" t="s">
        <v>1412</v>
      </c>
      <c r="Y404" t="s">
        <v>30</v>
      </c>
      <c r="Z404" t="str">
        <f>IF(NOT("https://truemarkets3d.net/3d-virtual-tour/housingbank-realestate/phase3/aq-re-100122/index.html" = ""), HYPERLINK("https://truemarkets3d.net/3d-virtual-tour/housingbank-realestate/phase3/aq-re-100122/index.html", "جولة"), "")</f>
        <v>جولة</v>
      </c>
      <c r="AA404" t="str">
        <f>IF(NOT("https://maps.app.goo.gl/oeW83VDAaD4bodJfA" = ""), HYPERLINK("https://maps.app.goo.gl/oeW83VDAaD4bodJfA", "موقع"), "")</f>
        <v>موقع</v>
      </c>
    </row>
    <row r="405" spans="1:27" x14ac:dyDescent="0.3">
      <c r="A405" t="s">
        <v>1413</v>
      </c>
      <c r="B405" s="8">
        <v>46282.623217592591</v>
      </c>
      <c r="C405" t="s">
        <v>2</v>
      </c>
      <c r="D405" t="s">
        <v>59</v>
      </c>
      <c r="E405" t="s">
        <v>1293</v>
      </c>
      <c r="F405" t="s">
        <v>3273</v>
      </c>
      <c r="G405" t="s">
        <v>21</v>
      </c>
      <c r="H405" t="s">
        <v>1100</v>
      </c>
      <c r="I405" t="s">
        <v>1101</v>
      </c>
      <c r="J405" t="s">
        <v>1102</v>
      </c>
      <c r="K405" t="s">
        <v>1414</v>
      </c>
      <c r="L405">
        <v>-101</v>
      </c>
      <c r="M405">
        <v>259</v>
      </c>
      <c r="N405">
        <v>51000</v>
      </c>
      <c r="O405">
        <v>31.921778</v>
      </c>
      <c r="P405">
        <v>35.886417000000002</v>
      </c>
      <c r="Q405" t="s">
        <v>1415</v>
      </c>
      <c r="S405" t="s">
        <v>2525</v>
      </c>
      <c r="U405" t="s">
        <v>3274</v>
      </c>
      <c r="V405" t="s">
        <v>43</v>
      </c>
      <c r="W405" t="s">
        <v>1416</v>
      </c>
      <c r="Y405" t="s">
        <v>30</v>
      </c>
      <c r="Z405" t="s">
        <v>30</v>
      </c>
      <c r="AA405" t="str">
        <f>IF(NOT("https://maps.app.goo.gl/AAY9c6rXRLpYCaAU9" = ""), HYPERLINK("https://maps.app.goo.gl/AAY9c6rXRLpYCaAU9", "موقع"), "")</f>
        <v>موقع</v>
      </c>
    </row>
    <row r="406" spans="1:27" x14ac:dyDescent="0.3">
      <c r="A406" t="s">
        <v>1417</v>
      </c>
      <c r="B406" s="8">
        <v>46282.623217592591</v>
      </c>
      <c r="C406" t="s">
        <v>2</v>
      </c>
      <c r="D406" t="s">
        <v>59</v>
      </c>
      <c r="E406" t="s">
        <v>1231</v>
      </c>
      <c r="F406" t="s">
        <v>3275</v>
      </c>
      <c r="G406" t="s">
        <v>21</v>
      </c>
      <c r="H406" t="s">
        <v>1100</v>
      </c>
      <c r="I406" t="s">
        <v>1101</v>
      </c>
      <c r="J406" t="s">
        <v>1102</v>
      </c>
      <c r="K406" t="s">
        <v>1230</v>
      </c>
      <c r="L406">
        <v>-111</v>
      </c>
      <c r="M406">
        <v>602</v>
      </c>
      <c r="N406">
        <v>52000</v>
      </c>
      <c r="O406">
        <v>31.936278000000001</v>
      </c>
      <c r="P406">
        <v>35.908360999999999</v>
      </c>
      <c r="Q406" t="s">
        <v>1418</v>
      </c>
      <c r="S406" t="s">
        <v>2525</v>
      </c>
      <c r="U406" t="s">
        <v>3276</v>
      </c>
      <c r="V406" t="s">
        <v>33</v>
      </c>
      <c r="W406" t="s">
        <v>1419</v>
      </c>
      <c r="Y406" t="s">
        <v>30</v>
      </c>
      <c r="Z406" t="s">
        <v>30</v>
      </c>
      <c r="AA406" t="str">
        <f>IF(NOT("https://maps.app.goo.gl/Pdg7Tbzp3q1vqj3y8" = ""), HYPERLINK("https://maps.app.goo.gl/Pdg7Tbzp3q1vqj3y8", "موقع"), "")</f>
        <v>موقع</v>
      </c>
    </row>
    <row r="407" spans="1:27" x14ac:dyDescent="0.3">
      <c r="A407" t="s">
        <v>1420</v>
      </c>
      <c r="B407" s="8">
        <v>46282.623217592591</v>
      </c>
      <c r="C407" t="s">
        <v>2</v>
      </c>
      <c r="D407" t="s">
        <v>59</v>
      </c>
      <c r="E407" t="s">
        <v>1421</v>
      </c>
      <c r="F407" t="s">
        <v>2768</v>
      </c>
      <c r="G407" t="s">
        <v>21</v>
      </c>
      <c r="H407" t="s">
        <v>1100</v>
      </c>
      <c r="I407" t="s">
        <v>1263</v>
      </c>
      <c r="J407" t="s">
        <v>1335</v>
      </c>
      <c r="K407" t="s">
        <v>1336</v>
      </c>
      <c r="L407">
        <v>-114</v>
      </c>
      <c r="M407">
        <v>279</v>
      </c>
      <c r="N407">
        <v>52000</v>
      </c>
      <c r="Q407" t="s">
        <v>845</v>
      </c>
      <c r="S407" t="s">
        <v>2525</v>
      </c>
      <c r="V407" t="s">
        <v>73</v>
      </c>
      <c r="W407" t="s">
        <v>1422</v>
      </c>
      <c r="Y407" t="s">
        <v>30</v>
      </c>
      <c r="Z407" t="s">
        <v>30</v>
      </c>
      <c r="AA407" t="s">
        <v>30</v>
      </c>
    </row>
    <row r="408" spans="1:27" x14ac:dyDescent="0.3">
      <c r="A408" t="s">
        <v>1423</v>
      </c>
      <c r="B408" s="8">
        <v>46282.623217592591</v>
      </c>
      <c r="C408" t="s">
        <v>2</v>
      </c>
      <c r="D408" t="s">
        <v>59</v>
      </c>
      <c r="E408" t="s">
        <v>1427</v>
      </c>
      <c r="F408" t="s">
        <v>3277</v>
      </c>
      <c r="G408" t="s">
        <v>21</v>
      </c>
      <c r="H408" t="s">
        <v>1100</v>
      </c>
      <c r="I408" t="s">
        <v>1424</v>
      </c>
      <c r="J408" t="s">
        <v>1425</v>
      </c>
      <c r="K408" t="s">
        <v>1426</v>
      </c>
      <c r="L408">
        <v>132</v>
      </c>
      <c r="M408">
        <v>2025</v>
      </c>
      <c r="N408">
        <v>52000</v>
      </c>
      <c r="O408">
        <v>31.939222000000001</v>
      </c>
      <c r="P408">
        <v>35.829721999999997</v>
      </c>
      <c r="Q408" t="s">
        <v>1428</v>
      </c>
      <c r="R408" t="s">
        <v>3278</v>
      </c>
      <c r="S408" t="s">
        <v>2579</v>
      </c>
      <c r="U408" t="s">
        <v>3279</v>
      </c>
      <c r="V408" t="s">
        <v>55</v>
      </c>
      <c r="W408" t="s">
        <v>1429</v>
      </c>
      <c r="Y408" t="s">
        <v>30</v>
      </c>
      <c r="Z408" t="str">
        <f>IF(NOT("https://truemarkets3d.net/3d-virtual-tour/housingbank-realestate/phase3/aq-re-100039/index.html" = ""), HYPERLINK("https://truemarkets3d.net/3d-virtual-tour/housingbank-realestate/phase3/aq-re-100039/index.html", "جولة"), "")</f>
        <v>جولة</v>
      </c>
      <c r="AA408" t="str">
        <f>IF(NOT("https://maps.app.goo.gl/jENfBBd2m4vrtLZq9" = ""), HYPERLINK("https://maps.app.goo.gl/jENfBBd2m4vrtLZq9", "موقع"), "")</f>
        <v>موقع</v>
      </c>
    </row>
    <row r="409" spans="1:27" x14ac:dyDescent="0.3">
      <c r="A409" t="s">
        <v>1430</v>
      </c>
      <c r="B409" s="8">
        <v>46282.623217592591</v>
      </c>
      <c r="C409" t="s">
        <v>2</v>
      </c>
      <c r="D409" t="s">
        <v>59</v>
      </c>
      <c r="E409" t="s">
        <v>1279</v>
      </c>
      <c r="F409" t="s">
        <v>3280</v>
      </c>
      <c r="G409" t="s">
        <v>21</v>
      </c>
      <c r="H409" t="s">
        <v>1100</v>
      </c>
      <c r="I409" t="s">
        <v>1162</v>
      </c>
      <c r="J409" t="s">
        <v>1277</v>
      </c>
      <c r="K409" t="s">
        <v>1322</v>
      </c>
      <c r="L409">
        <v>124</v>
      </c>
      <c r="M409">
        <v>3022</v>
      </c>
      <c r="N409">
        <v>52000</v>
      </c>
      <c r="O409">
        <v>31.987943999999999</v>
      </c>
      <c r="P409">
        <v>35.966306000000003</v>
      </c>
      <c r="Q409" t="s">
        <v>160</v>
      </c>
      <c r="S409" t="s">
        <v>2525</v>
      </c>
      <c r="U409" t="s">
        <v>3281</v>
      </c>
      <c r="V409" t="s">
        <v>73</v>
      </c>
      <c r="W409" t="s">
        <v>1431</v>
      </c>
      <c r="Y409" t="s">
        <v>30</v>
      </c>
      <c r="Z409" t="s">
        <v>30</v>
      </c>
      <c r="AA409" t="str">
        <f>IF(NOT("https://maps.app.goo.gl/78XWhaoaJBM26LxDA" = ""), HYPERLINK("https://maps.app.goo.gl/78XWhaoaJBM26LxDA", "موقع"), "")</f>
        <v>موقع</v>
      </c>
    </row>
    <row r="410" spans="1:27" x14ac:dyDescent="0.3">
      <c r="A410" t="s">
        <v>1432</v>
      </c>
      <c r="B410" s="8">
        <v>46282.623217592591</v>
      </c>
      <c r="C410" t="s">
        <v>2</v>
      </c>
      <c r="D410" t="s">
        <v>59</v>
      </c>
      <c r="E410" t="s">
        <v>1279</v>
      </c>
      <c r="F410" t="s">
        <v>3282</v>
      </c>
      <c r="G410" t="s">
        <v>21</v>
      </c>
      <c r="H410" t="s">
        <v>1100</v>
      </c>
      <c r="I410" t="s">
        <v>1162</v>
      </c>
      <c r="J410" t="s">
        <v>1277</v>
      </c>
      <c r="K410" t="s">
        <v>1326</v>
      </c>
      <c r="L410">
        <v>112</v>
      </c>
      <c r="M410">
        <v>2860</v>
      </c>
      <c r="N410">
        <v>53000</v>
      </c>
      <c r="O410">
        <v>32.009749999999997</v>
      </c>
      <c r="P410">
        <v>35.953167000000001</v>
      </c>
      <c r="Q410" t="s">
        <v>1433</v>
      </c>
      <c r="S410" t="s">
        <v>2525</v>
      </c>
      <c r="U410" t="s">
        <v>3283</v>
      </c>
      <c r="V410" t="s">
        <v>43</v>
      </c>
      <c r="W410" t="s">
        <v>1434</v>
      </c>
      <c r="Y410" t="s">
        <v>30</v>
      </c>
      <c r="Z410" t="s">
        <v>30</v>
      </c>
      <c r="AA410" t="str">
        <f>IF(NOT("https://maps.app.goo.gl/avm15mhnaw4qyuLg6" = ""), HYPERLINK("https://maps.app.goo.gl/avm15mhnaw4qyuLg6", "موقع"), "")</f>
        <v>موقع</v>
      </c>
    </row>
    <row r="411" spans="1:27" x14ac:dyDescent="0.3">
      <c r="A411" t="s">
        <v>1435</v>
      </c>
      <c r="B411" s="8">
        <v>46282.623217592591</v>
      </c>
      <c r="C411" t="s">
        <v>2</v>
      </c>
      <c r="D411" t="s">
        <v>59</v>
      </c>
      <c r="E411" t="s">
        <v>1209</v>
      </c>
      <c r="F411" t="s">
        <v>3284</v>
      </c>
      <c r="G411" t="s">
        <v>21</v>
      </c>
      <c r="H411" t="s">
        <v>1100</v>
      </c>
      <c r="I411" t="s">
        <v>1143</v>
      </c>
      <c r="J411" t="s">
        <v>1153</v>
      </c>
      <c r="K411" t="s">
        <v>1411</v>
      </c>
      <c r="L411">
        <v>132</v>
      </c>
      <c r="M411">
        <v>2080</v>
      </c>
      <c r="N411">
        <v>53000</v>
      </c>
      <c r="O411">
        <v>31.911943999999998</v>
      </c>
      <c r="P411">
        <v>35.952916999999999</v>
      </c>
      <c r="Q411" t="s">
        <v>160</v>
      </c>
      <c r="R411" t="s">
        <v>3285</v>
      </c>
      <c r="S411" t="s">
        <v>2579</v>
      </c>
      <c r="U411" t="s">
        <v>3286</v>
      </c>
      <c r="V411" t="s">
        <v>55</v>
      </c>
      <c r="W411" t="s">
        <v>1436</v>
      </c>
      <c r="Y411" t="s">
        <v>30</v>
      </c>
      <c r="Z411" t="str">
        <f>IF(NOT("https://truemarkets3d.net/3d-virtual-tour/housingbank-realestate/phase3/aq-re-100123/index.html" = ""), HYPERLINK("https://truemarkets3d.net/3d-virtual-tour/housingbank-realestate/phase3/aq-re-100123/index.html", "جولة"), "")</f>
        <v>جولة</v>
      </c>
      <c r="AA411" t="str">
        <f>IF(NOT("https://maps.app.goo.gl/85dFTm6w5eh5cFpeA" = ""), HYPERLINK("https://maps.app.goo.gl/85dFTm6w5eh5cFpeA", "موقع"), "")</f>
        <v>موقع</v>
      </c>
    </row>
    <row r="412" spans="1:27" x14ac:dyDescent="0.3">
      <c r="A412" t="s">
        <v>1437</v>
      </c>
      <c r="B412" s="8">
        <v>46282.623217592591</v>
      </c>
      <c r="C412" t="s">
        <v>2</v>
      </c>
      <c r="D412" t="s">
        <v>59</v>
      </c>
      <c r="E412" t="s">
        <v>1165</v>
      </c>
      <c r="F412" t="s">
        <v>3287</v>
      </c>
      <c r="G412" t="s">
        <v>21</v>
      </c>
      <c r="H412" t="s">
        <v>1100</v>
      </c>
      <c r="I412" t="s">
        <v>1162</v>
      </c>
      <c r="J412" t="s">
        <v>1163</v>
      </c>
      <c r="K412" t="s">
        <v>1378</v>
      </c>
      <c r="L412">
        <v>101</v>
      </c>
      <c r="M412">
        <v>2566</v>
      </c>
      <c r="N412">
        <v>53000</v>
      </c>
      <c r="Q412" t="s">
        <v>277</v>
      </c>
      <c r="S412" t="s">
        <v>2525</v>
      </c>
      <c r="V412" t="s">
        <v>28</v>
      </c>
      <c r="W412" t="s">
        <v>1438</v>
      </c>
      <c r="Y412" t="s">
        <v>30</v>
      </c>
      <c r="Z412" t="s">
        <v>30</v>
      </c>
      <c r="AA412" t="s">
        <v>30</v>
      </c>
    </row>
    <row r="413" spans="1:27" x14ac:dyDescent="0.3">
      <c r="A413" t="s">
        <v>1439</v>
      </c>
      <c r="B413" s="8">
        <v>46282.623217592591</v>
      </c>
      <c r="C413" t="s">
        <v>2</v>
      </c>
      <c r="D413" t="s">
        <v>59</v>
      </c>
      <c r="E413" t="s">
        <v>1311</v>
      </c>
      <c r="F413" t="s">
        <v>3288</v>
      </c>
      <c r="G413" t="s">
        <v>21</v>
      </c>
      <c r="H413" t="s">
        <v>1100</v>
      </c>
      <c r="I413" t="s">
        <v>1263</v>
      </c>
      <c r="J413" t="s">
        <v>1309</v>
      </c>
      <c r="K413" t="s">
        <v>1310</v>
      </c>
      <c r="L413">
        <v>101</v>
      </c>
      <c r="M413">
        <v>63</v>
      </c>
      <c r="N413">
        <v>54000</v>
      </c>
      <c r="O413">
        <v>32.060194000000003</v>
      </c>
      <c r="P413">
        <v>35.889000000000003</v>
      </c>
      <c r="Q413" t="s">
        <v>175</v>
      </c>
      <c r="S413" t="s">
        <v>2525</v>
      </c>
      <c r="U413" t="s">
        <v>3206</v>
      </c>
      <c r="V413" t="s">
        <v>28</v>
      </c>
      <c r="W413" t="s">
        <v>1440</v>
      </c>
      <c r="Y413" t="s">
        <v>30</v>
      </c>
      <c r="Z413" t="s">
        <v>30</v>
      </c>
      <c r="AA413" t="str">
        <f>IF(NOT("https://maps.app.goo.gl/boHCvhcK4sWuF6V77" = ""), HYPERLINK("https://maps.app.goo.gl/boHCvhcK4sWuF6V77", "موقع"), "")</f>
        <v>موقع</v>
      </c>
    </row>
    <row r="414" spans="1:27" x14ac:dyDescent="0.3">
      <c r="A414" t="s">
        <v>1441</v>
      </c>
      <c r="B414" s="8">
        <v>46282.623217592591</v>
      </c>
      <c r="C414" t="s">
        <v>2</v>
      </c>
      <c r="D414" t="s">
        <v>59</v>
      </c>
      <c r="E414" t="s">
        <v>1311</v>
      </c>
      <c r="F414" t="s">
        <v>3289</v>
      </c>
      <c r="G414" t="s">
        <v>21</v>
      </c>
      <c r="H414" t="s">
        <v>1100</v>
      </c>
      <c r="I414" t="s">
        <v>1263</v>
      </c>
      <c r="J414" t="s">
        <v>1309</v>
      </c>
      <c r="K414" t="s">
        <v>1310</v>
      </c>
      <c r="L414">
        <v>111</v>
      </c>
      <c r="M414">
        <v>63</v>
      </c>
      <c r="N414">
        <v>54000</v>
      </c>
      <c r="O414">
        <v>32.060194000000003</v>
      </c>
      <c r="P414">
        <v>35.889000000000003</v>
      </c>
      <c r="Q414" t="s">
        <v>175</v>
      </c>
      <c r="S414" t="s">
        <v>2525</v>
      </c>
      <c r="U414" t="s">
        <v>3206</v>
      </c>
      <c r="V414" t="s">
        <v>43</v>
      </c>
      <c r="W414" t="s">
        <v>1442</v>
      </c>
      <c r="Y414" t="s">
        <v>30</v>
      </c>
      <c r="Z414" t="s">
        <v>30</v>
      </c>
      <c r="AA414" t="str">
        <f>IF(NOT("https://maps.app.goo.gl/boHCvhcK4sWuF6V77" = ""), HYPERLINK("https://maps.app.goo.gl/boHCvhcK4sWuF6V77", "موقع"), "")</f>
        <v>موقع</v>
      </c>
    </row>
    <row r="415" spans="1:27" x14ac:dyDescent="0.3">
      <c r="A415" t="s">
        <v>1443</v>
      </c>
      <c r="B415" s="8">
        <v>46282.623217592591</v>
      </c>
      <c r="C415" t="s">
        <v>2</v>
      </c>
      <c r="D415" t="s">
        <v>59</v>
      </c>
      <c r="E415" t="s">
        <v>1279</v>
      </c>
      <c r="F415" t="s">
        <v>3290</v>
      </c>
      <c r="G415" t="s">
        <v>21</v>
      </c>
      <c r="H415" t="s">
        <v>1100</v>
      </c>
      <c r="I415" t="s">
        <v>1162</v>
      </c>
      <c r="J415" t="s">
        <v>1277</v>
      </c>
      <c r="K415" t="s">
        <v>1326</v>
      </c>
      <c r="L415">
        <v>113</v>
      </c>
      <c r="M415">
        <v>1028</v>
      </c>
      <c r="N415">
        <v>54000</v>
      </c>
      <c r="O415">
        <v>31.994638999999999</v>
      </c>
      <c r="P415">
        <v>35.936667</v>
      </c>
      <c r="Q415" t="s">
        <v>239</v>
      </c>
      <c r="R415" t="s">
        <v>3291</v>
      </c>
      <c r="S415" t="s">
        <v>2579</v>
      </c>
      <c r="U415" t="s">
        <v>3292</v>
      </c>
      <c r="V415" t="s">
        <v>43</v>
      </c>
      <c r="W415" t="s">
        <v>1444</v>
      </c>
      <c r="Y415" t="s">
        <v>30</v>
      </c>
      <c r="Z415" t="str">
        <f>IF(NOT("https://truemarkets3d.net/3d-virtual-tour/housingbank-realestate/phase3/aq-re-100115/index.html" = ""), HYPERLINK("https://truemarkets3d.net/3d-virtual-tour/housingbank-realestate/phase3/aq-re-100115/index.html", "جولة"), "")</f>
        <v>جولة</v>
      </c>
      <c r="AA415" t="str">
        <f>IF(NOT("https://maps.app.goo.gl/RJdWCLyv6pwXDKhq8" = ""), HYPERLINK("https://maps.app.goo.gl/RJdWCLyv6pwXDKhq8", "موقع"), "")</f>
        <v>موقع</v>
      </c>
    </row>
    <row r="416" spans="1:27" x14ac:dyDescent="0.3">
      <c r="A416" t="s">
        <v>1445</v>
      </c>
      <c r="B416" s="8">
        <v>46282.623217592591</v>
      </c>
      <c r="C416" t="s">
        <v>2</v>
      </c>
      <c r="D416" t="s">
        <v>59</v>
      </c>
      <c r="E416" t="s">
        <v>1279</v>
      </c>
      <c r="F416" t="s">
        <v>3293</v>
      </c>
      <c r="G416" t="s">
        <v>21</v>
      </c>
      <c r="H416" t="s">
        <v>1100</v>
      </c>
      <c r="I416" t="s">
        <v>1162</v>
      </c>
      <c r="J416" t="s">
        <v>1277</v>
      </c>
      <c r="K416" t="s">
        <v>1326</v>
      </c>
      <c r="L416">
        <v>133</v>
      </c>
      <c r="M416">
        <v>1777</v>
      </c>
      <c r="N416">
        <v>55000</v>
      </c>
      <c r="Q416" t="s">
        <v>160</v>
      </c>
      <c r="S416" t="s">
        <v>2525</v>
      </c>
      <c r="V416" t="s">
        <v>55</v>
      </c>
      <c r="W416" t="s">
        <v>1446</v>
      </c>
      <c r="Y416" t="s">
        <v>30</v>
      </c>
      <c r="Z416" t="s">
        <v>30</v>
      </c>
      <c r="AA416" t="s">
        <v>30</v>
      </c>
    </row>
    <row r="417" spans="1:27" x14ac:dyDescent="0.3">
      <c r="A417" t="s">
        <v>1447</v>
      </c>
      <c r="B417" s="8">
        <v>46282.623217592591</v>
      </c>
      <c r="C417" t="s">
        <v>2</v>
      </c>
      <c r="D417" t="s">
        <v>59</v>
      </c>
      <c r="E417" t="s">
        <v>1231</v>
      </c>
      <c r="F417" t="s">
        <v>3294</v>
      </c>
      <c r="G417" t="s">
        <v>21</v>
      </c>
      <c r="H417" t="s">
        <v>1100</v>
      </c>
      <c r="I417" t="s">
        <v>1101</v>
      </c>
      <c r="J417" t="s">
        <v>1102</v>
      </c>
      <c r="K417" t="s">
        <v>1230</v>
      </c>
      <c r="L417">
        <v>-121</v>
      </c>
      <c r="M417">
        <v>602</v>
      </c>
      <c r="N417">
        <v>57000</v>
      </c>
      <c r="O417">
        <v>31.936278000000001</v>
      </c>
      <c r="P417">
        <v>35.908360999999999</v>
      </c>
      <c r="Q417" t="s">
        <v>1418</v>
      </c>
      <c r="S417" t="s">
        <v>2525</v>
      </c>
      <c r="U417" t="s">
        <v>3276</v>
      </c>
      <c r="V417" t="s">
        <v>551</v>
      </c>
      <c r="W417" t="s">
        <v>1419</v>
      </c>
      <c r="Y417" t="s">
        <v>30</v>
      </c>
      <c r="Z417" t="s">
        <v>30</v>
      </c>
      <c r="AA417" t="str">
        <f>IF(NOT("https://maps.app.goo.gl/Pdg7Tbzp3q1vqj3y8" = ""), HYPERLINK("https://maps.app.goo.gl/Pdg7Tbzp3q1vqj3y8", "موقع"), "")</f>
        <v>موقع</v>
      </c>
    </row>
    <row r="418" spans="1:27" x14ac:dyDescent="0.3">
      <c r="A418" t="s">
        <v>1448</v>
      </c>
      <c r="B418" s="8">
        <v>46282.623217592591</v>
      </c>
      <c r="C418" t="s">
        <v>2</v>
      </c>
      <c r="D418" t="s">
        <v>59</v>
      </c>
      <c r="E418" t="s">
        <v>1279</v>
      </c>
      <c r="F418" t="s">
        <v>3295</v>
      </c>
      <c r="G418" t="s">
        <v>21</v>
      </c>
      <c r="H418" t="s">
        <v>1100</v>
      </c>
      <c r="I418" t="s">
        <v>1162</v>
      </c>
      <c r="J418" t="s">
        <v>1183</v>
      </c>
      <c r="K418" t="s">
        <v>1285</v>
      </c>
      <c r="L418">
        <v>121</v>
      </c>
      <c r="M418">
        <v>835</v>
      </c>
      <c r="N418">
        <v>57000</v>
      </c>
      <c r="O418">
        <v>32.003500000000003</v>
      </c>
      <c r="P418">
        <v>35.930999999999997</v>
      </c>
      <c r="Q418" t="s">
        <v>1428</v>
      </c>
      <c r="S418" t="s">
        <v>2525</v>
      </c>
      <c r="U418" t="s">
        <v>3296</v>
      </c>
      <c r="V418" t="s">
        <v>73</v>
      </c>
      <c r="W418" t="s">
        <v>1449</v>
      </c>
      <c r="Y418" t="s">
        <v>30</v>
      </c>
      <c r="Z418" t="s">
        <v>30</v>
      </c>
      <c r="AA418" t="str">
        <f>IF(NOT("https://maps.app.goo.gl/kMtMj5dxsNbSzd9PA" = ""), HYPERLINK("https://maps.app.goo.gl/kMtMj5dxsNbSzd9PA", "موقع"), "")</f>
        <v>موقع</v>
      </c>
    </row>
    <row r="419" spans="1:27" x14ac:dyDescent="0.3">
      <c r="A419" t="s">
        <v>1450</v>
      </c>
      <c r="B419" s="8">
        <v>46282.623217592591</v>
      </c>
      <c r="C419" t="s">
        <v>2</v>
      </c>
      <c r="D419" t="s">
        <v>59</v>
      </c>
      <c r="E419" t="s">
        <v>1311</v>
      </c>
      <c r="F419" t="s">
        <v>3297</v>
      </c>
      <c r="G419" t="s">
        <v>21</v>
      </c>
      <c r="H419" t="s">
        <v>1100</v>
      </c>
      <c r="I419" t="s">
        <v>1263</v>
      </c>
      <c r="J419" t="s">
        <v>1309</v>
      </c>
      <c r="K419" t="s">
        <v>1310</v>
      </c>
      <c r="L419">
        <v>-111</v>
      </c>
      <c r="M419">
        <v>63</v>
      </c>
      <c r="N419">
        <v>59000</v>
      </c>
      <c r="O419">
        <v>32.060194000000003</v>
      </c>
      <c r="P419">
        <v>35.889000000000003</v>
      </c>
      <c r="Q419" t="s">
        <v>175</v>
      </c>
      <c r="S419" t="s">
        <v>2525</v>
      </c>
      <c r="U419" t="s">
        <v>3206</v>
      </c>
      <c r="V419" t="s">
        <v>33</v>
      </c>
      <c r="W419" t="s">
        <v>1451</v>
      </c>
      <c r="Y419" t="s">
        <v>30</v>
      </c>
      <c r="Z419" t="s">
        <v>30</v>
      </c>
      <c r="AA419" t="str">
        <f>IF(NOT("https://maps.app.goo.gl/boHCvhcK4sWuF6V77" = ""), HYPERLINK("https://maps.app.goo.gl/boHCvhcK4sWuF6V77", "موقع"), "")</f>
        <v>موقع</v>
      </c>
    </row>
    <row r="420" spans="1:27" x14ac:dyDescent="0.3">
      <c r="A420" t="s">
        <v>1452</v>
      </c>
      <c r="B420" s="8">
        <v>46282.623217592591</v>
      </c>
      <c r="C420" t="s">
        <v>2</v>
      </c>
      <c r="D420" t="s">
        <v>59</v>
      </c>
      <c r="E420" t="s">
        <v>1279</v>
      </c>
      <c r="F420" t="s">
        <v>3298</v>
      </c>
      <c r="G420" t="s">
        <v>21</v>
      </c>
      <c r="H420" t="s">
        <v>1100</v>
      </c>
      <c r="I420" t="s">
        <v>1162</v>
      </c>
      <c r="J420" t="s">
        <v>1277</v>
      </c>
      <c r="K420" t="s">
        <v>1453</v>
      </c>
      <c r="L420">
        <v>121</v>
      </c>
      <c r="M420">
        <v>649</v>
      </c>
      <c r="N420">
        <v>60000</v>
      </c>
      <c r="Q420" t="s">
        <v>1454</v>
      </c>
      <c r="S420" t="s">
        <v>2525</v>
      </c>
      <c r="V420" t="s">
        <v>73</v>
      </c>
      <c r="W420" t="s">
        <v>1455</v>
      </c>
      <c r="Y420" t="s">
        <v>30</v>
      </c>
      <c r="Z420" t="s">
        <v>30</v>
      </c>
      <c r="AA420" t="s">
        <v>30</v>
      </c>
    </row>
    <row r="421" spans="1:27" x14ac:dyDescent="0.3">
      <c r="A421" t="s">
        <v>1456</v>
      </c>
      <c r="B421" s="8">
        <v>46282.623217592591</v>
      </c>
      <c r="C421" t="s">
        <v>2</v>
      </c>
      <c r="D421" t="s">
        <v>59</v>
      </c>
      <c r="E421" t="s">
        <v>1231</v>
      </c>
      <c r="F421" t="s">
        <v>3299</v>
      </c>
      <c r="G421" t="s">
        <v>21</v>
      </c>
      <c r="H421" t="s">
        <v>1100</v>
      </c>
      <c r="I421" t="s">
        <v>1101</v>
      </c>
      <c r="J421" t="s">
        <v>1102</v>
      </c>
      <c r="K421" t="s">
        <v>1230</v>
      </c>
      <c r="L421">
        <v>101</v>
      </c>
      <c r="M421">
        <v>602</v>
      </c>
      <c r="N421">
        <v>61000</v>
      </c>
      <c r="O421">
        <v>31.936278000000001</v>
      </c>
      <c r="P421">
        <v>35.908360999999999</v>
      </c>
      <c r="Q421" t="s">
        <v>1418</v>
      </c>
      <c r="S421" t="s">
        <v>2525</v>
      </c>
      <c r="U421" t="s">
        <v>3276</v>
      </c>
      <c r="V421" t="s">
        <v>28</v>
      </c>
      <c r="W421" t="s">
        <v>1457</v>
      </c>
      <c r="Y421" t="s">
        <v>30</v>
      </c>
      <c r="Z421" t="s">
        <v>30</v>
      </c>
      <c r="AA421" t="str">
        <f>IF(NOT("https://maps.app.goo.gl/Pdg7Tbzp3q1vqj3y8" = ""), HYPERLINK("https://maps.app.goo.gl/Pdg7Tbzp3q1vqj3y8", "موقع"), "")</f>
        <v>موقع</v>
      </c>
    </row>
    <row r="422" spans="1:27" x14ac:dyDescent="0.3">
      <c r="A422" t="s">
        <v>1458</v>
      </c>
      <c r="B422" s="8">
        <v>46282.623217592591</v>
      </c>
      <c r="C422" t="s">
        <v>2</v>
      </c>
      <c r="D422" t="s">
        <v>59</v>
      </c>
      <c r="E422" t="s">
        <v>1279</v>
      </c>
      <c r="F422" t="s">
        <v>3300</v>
      </c>
      <c r="G422" t="s">
        <v>21</v>
      </c>
      <c r="H422" t="s">
        <v>1100</v>
      </c>
      <c r="I422" t="s">
        <v>1162</v>
      </c>
      <c r="J422" t="s">
        <v>1277</v>
      </c>
      <c r="K422" t="s">
        <v>1326</v>
      </c>
      <c r="L422">
        <v>102</v>
      </c>
      <c r="M422">
        <v>2860</v>
      </c>
      <c r="N422">
        <v>61000</v>
      </c>
      <c r="O422">
        <v>32.009749999999997</v>
      </c>
      <c r="P422">
        <v>35.953167000000001</v>
      </c>
      <c r="Q422" t="s">
        <v>1433</v>
      </c>
      <c r="S422" t="s">
        <v>2525</v>
      </c>
      <c r="U422" t="s">
        <v>3283</v>
      </c>
      <c r="V422" t="s">
        <v>28</v>
      </c>
      <c r="W422" t="s">
        <v>1459</v>
      </c>
      <c r="Y422" t="s">
        <v>30</v>
      </c>
      <c r="Z422" t="s">
        <v>30</v>
      </c>
      <c r="AA422" t="str">
        <f>IF(NOT("https://maps.app.goo.gl/avm15mhnaw4qyuLg6" = ""), HYPERLINK("https://maps.app.goo.gl/avm15mhnaw4qyuLg6", "موقع"), "")</f>
        <v>موقع</v>
      </c>
    </row>
    <row r="423" spans="1:27" x14ac:dyDescent="0.3">
      <c r="A423" t="s">
        <v>1460</v>
      </c>
      <c r="B423" s="8">
        <v>46282.623217592591</v>
      </c>
      <c r="C423" t="s">
        <v>2</v>
      </c>
      <c r="D423" t="s">
        <v>59</v>
      </c>
      <c r="E423" t="s">
        <v>1463</v>
      </c>
      <c r="F423" t="s">
        <v>3301</v>
      </c>
      <c r="G423" t="s">
        <v>21</v>
      </c>
      <c r="H423" t="s">
        <v>1100</v>
      </c>
      <c r="I423" t="s">
        <v>1263</v>
      </c>
      <c r="J423" t="s">
        <v>1461</v>
      </c>
      <c r="K423" t="s">
        <v>1462</v>
      </c>
      <c r="L423">
        <v>101</v>
      </c>
      <c r="M423">
        <v>451</v>
      </c>
      <c r="N423">
        <v>63000</v>
      </c>
      <c r="O423">
        <v>32.050361000000002</v>
      </c>
      <c r="P423">
        <v>35.889833000000003</v>
      </c>
      <c r="Q423" t="s">
        <v>208</v>
      </c>
      <c r="S423" t="s">
        <v>2525</v>
      </c>
      <c r="U423" t="s">
        <v>3302</v>
      </c>
      <c r="V423" t="s">
        <v>28</v>
      </c>
      <c r="W423" t="s">
        <v>1464</v>
      </c>
      <c r="Y423" t="s">
        <v>30</v>
      </c>
      <c r="Z423" t="s">
        <v>30</v>
      </c>
      <c r="AA423" t="str">
        <f>IF(NOT("https://maps.app.goo.gl/mFnjNEXHi6AX1uGB8" = ""), HYPERLINK("https://maps.app.goo.gl/mFnjNEXHi6AX1uGB8", "موقع"), "")</f>
        <v>موقع</v>
      </c>
    </row>
    <row r="424" spans="1:27" x14ac:dyDescent="0.3">
      <c r="A424" t="s">
        <v>1465</v>
      </c>
      <c r="B424" s="8">
        <v>46282.623217592591</v>
      </c>
      <c r="C424" t="s">
        <v>2</v>
      </c>
      <c r="D424" t="s">
        <v>59</v>
      </c>
      <c r="E424" t="s">
        <v>1279</v>
      </c>
      <c r="F424" t="s">
        <v>3303</v>
      </c>
      <c r="G424" t="s">
        <v>21</v>
      </c>
      <c r="H424" t="s">
        <v>1100</v>
      </c>
      <c r="I424" t="s">
        <v>1162</v>
      </c>
      <c r="J424" t="s">
        <v>1277</v>
      </c>
      <c r="K424" t="s">
        <v>1326</v>
      </c>
      <c r="L424">
        <v>111</v>
      </c>
      <c r="M424">
        <v>1730</v>
      </c>
      <c r="N424">
        <v>66000</v>
      </c>
      <c r="O424">
        <v>32.006943999999997</v>
      </c>
      <c r="P424">
        <v>35.948528000000003</v>
      </c>
      <c r="Q424" t="s">
        <v>1466</v>
      </c>
      <c r="S424" t="s">
        <v>2525</v>
      </c>
      <c r="U424" t="s">
        <v>3304</v>
      </c>
      <c r="V424" t="s">
        <v>43</v>
      </c>
      <c r="W424" t="s">
        <v>1467</v>
      </c>
      <c r="Y424" t="s">
        <v>30</v>
      </c>
      <c r="Z424" t="s">
        <v>30</v>
      </c>
      <c r="AA424" t="str">
        <f>IF(NOT("https://maps.app.goo.gl/wEFbfAr76b6go7Ty7" = ""), HYPERLINK("https://maps.app.goo.gl/wEFbfAr76b6go7Ty7", "موقع"), "")</f>
        <v>موقع</v>
      </c>
    </row>
    <row r="425" spans="1:27" x14ac:dyDescent="0.3">
      <c r="A425" t="s">
        <v>1468</v>
      </c>
      <c r="B425" s="8">
        <v>46282.623217592591</v>
      </c>
      <c r="C425" t="s">
        <v>2</v>
      </c>
      <c r="D425" t="s">
        <v>59</v>
      </c>
      <c r="E425" t="s">
        <v>1293</v>
      </c>
      <c r="F425" t="s">
        <v>3305</v>
      </c>
      <c r="G425" t="s">
        <v>21</v>
      </c>
      <c r="H425" t="s">
        <v>1100</v>
      </c>
      <c r="I425" t="s">
        <v>1101</v>
      </c>
      <c r="J425" t="s">
        <v>1102</v>
      </c>
      <c r="K425" t="s">
        <v>1292</v>
      </c>
      <c r="L425">
        <v>-102</v>
      </c>
      <c r="M425">
        <v>1934</v>
      </c>
      <c r="N425">
        <v>68000</v>
      </c>
      <c r="O425">
        <v>31.915139</v>
      </c>
      <c r="P425">
        <v>35.884472000000002</v>
      </c>
      <c r="Q425" t="s">
        <v>1469</v>
      </c>
      <c r="R425" t="s">
        <v>3306</v>
      </c>
      <c r="S425" t="s">
        <v>2579</v>
      </c>
      <c r="U425" t="s">
        <v>3307</v>
      </c>
      <c r="V425" t="s">
        <v>28</v>
      </c>
      <c r="W425" t="s">
        <v>1470</v>
      </c>
      <c r="Y425" t="s">
        <v>30</v>
      </c>
      <c r="Z425" t="str">
        <f>IF(NOT("https://truemarkets3d.net/3d-virtual-tour/housingbank-realestate/phase3/aq-re-100749/index.html" = ""), HYPERLINK("https://truemarkets3d.net/3d-virtual-tour/housingbank-realestate/phase3/aq-re-100749/index.html", "جولة"), "")</f>
        <v>جولة</v>
      </c>
      <c r="AA425" t="str">
        <f>IF(NOT("https://maps.app.goo.gl/NUz9XJrJbDQFJvDU6" = ""), HYPERLINK("https://maps.app.goo.gl/NUz9XJrJbDQFJvDU6", "موقع"), "")</f>
        <v>موقع</v>
      </c>
    </row>
    <row r="426" spans="1:27" x14ac:dyDescent="0.3">
      <c r="A426" t="s">
        <v>1471</v>
      </c>
      <c r="B426" s="8">
        <v>46282.623217592591</v>
      </c>
      <c r="C426" t="s">
        <v>2</v>
      </c>
      <c r="D426" t="s">
        <v>59</v>
      </c>
      <c r="E426" t="s">
        <v>1475</v>
      </c>
      <c r="F426" t="s">
        <v>3273</v>
      </c>
      <c r="G426" t="s">
        <v>21</v>
      </c>
      <c r="H426" t="s">
        <v>1100</v>
      </c>
      <c r="I426" t="s">
        <v>1472</v>
      </c>
      <c r="J426" t="s">
        <v>1473</v>
      </c>
      <c r="K426" t="s">
        <v>1474</v>
      </c>
      <c r="L426">
        <v>-101</v>
      </c>
      <c r="M426">
        <v>439</v>
      </c>
      <c r="N426">
        <v>68000</v>
      </c>
      <c r="Q426" t="s">
        <v>1476</v>
      </c>
      <c r="S426" t="s">
        <v>2525</v>
      </c>
      <c r="V426" t="s">
        <v>33</v>
      </c>
      <c r="W426" t="s">
        <v>1477</v>
      </c>
      <c r="Y426" t="s">
        <v>30</v>
      </c>
      <c r="Z426" t="s">
        <v>30</v>
      </c>
      <c r="AA426" t="s">
        <v>30</v>
      </c>
    </row>
    <row r="427" spans="1:27" x14ac:dyDescent="0.3">
      <c r="A427" t="s">
        <v>1478</v>
      </c>
      <c r="B427" s="8">
        <v>46282.623217592591</v>
      </c>
      <c r="C427" t="s">
        <v>2</v>
      </c>
      <c r="D427" t="s">
        <v>59</v>
      </c>
      <c r="E427" t="s">
        <v>1479</v>
      </c>
      <c r="F427" t="s">
        <v>3308</v>
      </c>
      <c r="G427" t="s">
        <v>21</v>
      </c>
      <c r="H427" t="s">
        <v>1100</v>
      </c>
      <c r="I427" t="s">
        <v>1162</v>
      </c>
      <c r="J427" t="s">
        <v>1183</v>
      </c>
      <c r="K427" t="s">
        <v>1285</v>
      </c>
      <c r="L427">
        <v>121</v>
      </c>
      <c r="M427">
        <v>2418</v>
      </c>
      <c r="N427">
        <v>70000</v>
      </c>
      <c r="O427">
        <v>31.990167</v>
      </c>
      <c r="P427">
        <v>35.925417000000003</v>
      </c>
      <c r="Q427" t="s">
        <v>1480</v>
      </c>
      <c r="S427" t="s">
        <v>2525</v>
      </c>
      <c r="U427" t="s">
        <v>3309</v>
      </c>
      <c r="V427" t="s">
        <v>73</v>
      </c>
      <c r="W427" t="s">
        <v>1481</v>
      </c>
      <c r="Y427" t="s">
        <v>30</v>
      </c>
      <c r="Z427" t="s">
        <v>30</v>
      </c>
      <c r="AA427" t="str">
        <f>IF(NOT("https://maps.app.goo.gl/P4ZHVhL2SDqrEY9z8" = ""), HYPERLINK("https://maps.app.goo.gl/P4ZHVhL2SDqrEY9z8", "موقع"), "")</f>
        <v>موقع</v>
      </c>
    </row>
    <row r="428" spans="1:27" x14ac:dyDescent="0.3">
      <c r="A428" t="s">
        <v>1482</v>
      </c>
      <c r="B428" s="8">
        <v>46282.623217592591</v>
      </c>
      <c r="C428" t="s">
        <v>2</v>
      </c>
      <c r="D428" t="s">
        <v>59</v>
      </c>
      <c r="E428" t="s">
        <v>1279</v>
      </c>
      <c r="F428" t="s">
        <v>3310</v>
      </c>
      <c r="G428" t="s">
        <v>21</v>
      </c>
      <c r="H428" t="s">
        <v>1100</v>
      </c>
      <c r="I428" t="s">
        <v>1162</v>
      </c>
      <c r="J428" t="s">
        <v>1277</v>
      </c>
      <c r="K428" t="s">
        <v>1326</v>
      </c>
      <c r="L428">
        <v>103</v>
      </c>
      <c r="M428">
        <v>1706</v>
      </c>
      <c r="N428">
        <v>71000</v>
      </c>
      <c r="O428">
        <v>32.007277999999999</v>
      </c>
      <c r="P428">
        <v>35.946361000000003</v>
      </c>
      <c r="Q428" t="s">
        <v>160</v>
      </c>
      <c r="S428" t="s">
        <v>2525</v>
      </c>
      <c r="U428" t="s">
        <v>3311</v>
      </c>
      <c r="V428" t="s">
        <v>28</v>
      </c>
      <c r="W428" t="s">
        <v>1483</v>
      </c>
      <c r="Y428" t="s">
        <v>30</v>
      </c>
      <c r="Z428" t="s">
        <v>30</v>
      </c>
      <c r="AA428" t="str">
        <f>IF(NOT("https://maps.app.goo.gl/LH53HbcRSHAA2F9Q7" = ""), HYPERLINK("https://maps.app.goo.gl/LH53HbcRSHAA2F9Q7", "موقع"), "")</f>
        <v>موقع</v>
      </c>
    </row>
    <row r="429" spans="1:27" x14ac:dyDescent="0.3">
      <c r="A429" t="s">
        <v>1484</v>
      </c>
      <c r="B429" s="8">
        <v>46282.623217592591</v>
      </c>
      <c r="C429" t="s">
        <v>2</v>
      </c>
      <c r="D429" t="s">
        <v>59</v>
      </c>
      <c r="E429" t="s">
        <v>1463</v>
      </c>
      <c r="F429" t="s">
        <v>3312</v>
      </c>
      <c r="G429" t="s">
        <v>21</v>
      </c>
      <c r="H429" t="s">
        <v>1100</v>
      </c>
      <c r="I429" t="s">
        <v>1263</v>
      </c>
      <c r="J429" t="s">
        <v>1461</v>
      </c>
      <c r="K429" t="s">
        <v>1485</v>
      </c>
      <c r="L429">
        <v>-101</v>
      </c>
      <c r="M429">
        <v>2921</v>
      </c>
      <c r="N429">
        <v>72000</v>
      </c>
      <c r="O429">
        <v>32.044027999999997</v>
      </c>
      <c r="P429">
        <v>35.928750000000001</v>
      </c>
      <c r="Q429" t="s">
        <v>1241</v>
      </c>
      <c r="S429" t="s">
        <v>2525</v>
      </c>
      <c r="U429" t="s">
        <v>3313</v>
      </c>
      <c r="V429" t="s">
        <v>33</v>
      </c>
      <c r="W429" t="s">
        <v>1486</v>
      </c>
      <c r="Y429" t="s">
        <v>30</v>
      </c>
      <c r="Z429" t="s">
        <v>30</v>
      </c>
      <c r="AA429" t="str">
        <f>IF(NOT("https://maps.app.goo.gl/AaPL6x8f3Epshw3A6" = ""), HYPERLINK("https://maps.app.goo.gl/AaPL6x8f3Epshw3A6", "موقع"), "")</f>
        <v>موقع</v>
      </c>
    </row>
    <row r="430" spans="1:27" x14ac:dyDescent="0.3">
      <c r="A430" t="s">
        <v>1487</v>
      </c>
      <c r="B430" s="8">
        <v>46282.623217592591</v>
      </c>
      <c r="C430" t="s">
        <v>2</v>
      </c>
      <c r="D430" t="s">
        <v>59</v>
      </c>
      <c r="E430" t="s">
        <v>1489</v>
      </c>
      <c r="F430" t="s">
        <v>3314</v>
      </c>
      <c r="G430" t="s">
        <v>21</v>
      </c>
      <c r="H430" t="s">
        <v>1100</v>
      </c>
      <c r="I430" t="s">
        <v>1472</v>
      </c>
      <c r="J430" t="s">
        <v>1473</v>
      </c>
      <c r="K430" t="s">
        <v>1488</v>
      </c>
      <c r="L430">
        <v>132</v>
      </c>
      <c r="M430">
        <v>1328</v>
      </c>
      <c r="N430">
        <v>74000</v>
      </c>
      <c r="O430">
        <v>31.897138999999999</v>
      </c>
      <c r="P430">
        <v>35.844527999999997</v>
      </c>
      <c r="Q430" t="s">
        <v>548</v>
      </c>
      <c r="R430" t="s">
        <v>3315</v>
      </c>
      <c r="S430" t="s">
        <v>2579</v>
      </c>
      <c r="U430" t="s">
        <v>3316</v>
      </c>
      <c r="V430" t="s">
        <v>55</v>
      </c>
      <c r="W430" t="s">
        <v>1490</v>
      </c>
      <c r="Y430" t="s">
        <v>30</v>
      </c>
      <c r="Z430" t="str">
        <f>IF(NOT("https://truemarkets3d.net/3d-virtual-tour/housingbank-realestate/phase3/aq-re-100113/index.html" = ""), HYPERLINK("https://truemarkets3d.net/3d-virtual-tour/housingbank-realestate/phase3/aq-re-100113/index.html", "جولة"), "")</f>
        <v>جولة</v>
      </c>
      <c r="AA430" t="str">
        <f>IF(NOT("https://maps.app.goo.gl/RcLya9VzoKjrcVjX7" = ""), HYPERLINK("https://maps.app.goo.gl/RcLya9VzoKjrcVjX7", "موقع"), "")</f>
        <v>موقع</v>
      </c>
    </row>
    <row r="431" spans="1:27" x14ac:dyDescent="0.3">
      <c r="A431" t="s">
        <v>1491</v>
      </c>
      <c r="B431" s="8">
        <v>46282.623217592591</v>
      </c>
      <c r="C431" t="s">
        <v>2</v>
      </c>
      <c r="D431" t="s">
        <v>59</v>
      </c>
      <c r="E431" t="s">
        <v>1493</v>
      </c>
      <c r="F431" t="s">
        <v>3317</v>
      </c>
      <c r="G431" t="s">
        <v>21</v>
      </c>
      <c r="H431" t="s">
        <v>1100</v>
      </c>
      <c r="I431" t="s">
        <v>1424</v>
      </c>
      <c r="J431" t="s">
        <v>1425</v>
      </c>
      <c r="K431" t="s">
        <v>1492</v>
      </c>
      <c r="L431">
        <v>122</v>
      </c>
      <c r="M431">
        <v>450</v>
      </c>
      <c r="N431">
        <v>75000</v>
      </c>
      <c r="O431">
        <v>31.94875</v>
      </c>
      <c r="P431">
        <v>35.857694000000002</v>
      </c>
      <c r="Q431" t="s">
        <v>1494</v>
      </c>
      <c r="R431" t="s">
        <v>3318</v>
      </c>
      <c r="S431" t="s">
        <v>2579</v>
      </c>
      <c r="U431" t="s">
        <v>3319</v>
      </c>
      <c r="V431" t="s">
        <v>73</v>
      </c>
      <c r="W431" t="s">
        <v>1495</v>
      </c>
      <c r="Y431" t="s">
        <v>30</v>
      </c>
      <c r="Z431" t="str">
        <f>IF(NOT("https://truemarkets3d.net/3d-virtual-tour/housingbank-realestate/phase3/aq-re-100521/index.html" = ""), HYPERLINK("https://truemarkets3d.net/3d-virtual-tour/housingbank-realestate/phase3/aq-re-100521/index.html", "جولة"), "")</f>
        <v>جولة</v>
      </c>
      <c r="AA431" t="str">
        <f>IF(NOT("https://maps.app.goo.gl/qLQ5BPu7PfNaEtY78" = ""), HYPERLINK("https://maps.app.goo.gl/qLQ5BPu7PfNaEtY78", "موقع"), "")</f>
        <v>موقع</v>
      </c>
    </row>
    <row r="432" spans="1:27" x14ac:dyDescent="0.3">
      <c r="A432" t="s">
        <v>1496</v>
      </c>
      <c r="B432" s="8">
        <v>46282.623217592591</v>
      </c>
      <c r="C432" t="s">
        <v>2</v>
      </c>
      <c r="D432" t="s">
        <v>59</v>
      </c>
      <c r="E432" t="s">
        <v>1293</v>
      </c>
      <c r="F432" t="s">
        <v>3320</v>
      </c>
      <c r="G432" t="s">
        <v>21</v>
      </c>
      <c r="H432" t="s">
        <v>1100</v>
      </c>
      <c r="I432" t="s">
        <v>1101</v>
      </c>
      <c r="J432" t="s">
        <v>1102</v>
      </c>
      <c r="K432" t="s">
        <v>1292</v>
      </c>
      <c r="L432">
        <v>131</v>
      </c>
      <c r="M432">
        <v>1960</v>
      </c>
      <c r="N432">
        <v>78000</v>
      </c>
      <c r="O432">
        <v>31.912972</v>
      </c>
      <c r="P432">
        <v>35.885139000000002</v>
      </c>
      <c r="Q432" t="s">
        <v>1497</v>
      </c>
      <c r="R432" t="s">
        <v>3321</v>
      </c>
      <c r="S432" t="s">
        <v>2579</v>
      </c>
      <c r="U432" t="s">
        <v>3322</v>
      </c>
      <c r="V432" t="s">
        <v>55</v>
      </c>
      <c r="W432" t="s">
        <v>1498</v>
      </c>
      <c r="Y432" t="s">
        <v>30</v>
      </c>
      <c r="Z432" t="str">
        <f>IF(NOT("https://www.true-markets.net/media/360tour/housing-bank/1960-131/index.html" = ""), HYPERLINK("https://www.true-markets.net/media/360tour/housing-bank/1960-131/index.html", "جولة"), "")</f>
        <v>جولة</v>
      </c>
      <c r="AA432" t="str">
        <f>IF(NOT("https://maps.app.goo.gl/Nq3Tn1h3kFCRPX2N9" = ""), HYPERLINK("https://maps.app.goo.gl/Nq3Tn1h3kFCRPX2N9", "موقع"), "")</f>
        <v>موقع</v>
      </c>
    </row>
    <row r="433" spans="1:27" x14ac:dyDescent="0.3">
      <c r="A433" t="s">
        <v>1499</v>
      </c>
      <c r="B433" s="8">
        <v>46282.623217592591</v>
      </c>
      <c r="C433" t="s">
        <v>2</v>
      </c>
      <c r="D433" t="s">
        <v>59</v>
      </c>
      <c r="E433" t="s">
        <v>1501</v>
      </c>
      <c r="F433" t="s">
        <v>3323</v>
      </c>
      <c r="G433" t="s">
        <v>21</v>
      </c>
      <c r="H433" t="s">
        <v>1100</v>
      </c>
      <c r="I433" t="s">
        <v>1424</v>
      </c>
      <c r="J433" t="s">
        <v>1425</v>
      </c>
      <c r="K433" t="s">
        <v>1500</v>
      </c>
      <c r="L433">
        <v>102</v>
      </c>
      <c r="M433">
        <v>863</v>
      </c>
      <c r="N433">
        <v>82000</v>
      </c>
      <c r="O433">
        <v>31.963166999999999</v>
      </c>
      <c r="P433">
        <v>35.84225</v>
      </c>
      <c r="Q433" t="s">
        <v>1215</v>
      </c>
      <c r="S433" t="s">
        <v>2525</v>
      </c>
      <c r="U433" t="s">
        <v>3324</v>
      </c>
      <c r="V433" t="s">
        <v>28</v>
      </c>
      <c r="W433" t="s">
        <v>1502</v>
      </c>
      <c r="Y433" t="s">
        <v>30</v>
      </c>
      <c r="Z433" t="s">
        <v>30</v>
      </c>
      <c r="AA433" t="str">
        <f>IF(NOT("https://maps.app.goo.gl/uGiHJUmNLjAKrrag6" = ""), HYPERLINK("https://maps.app.goo.gl/uGiHJUmNLjAKrrag6", "موقع"), "")</f>
        <v>موقع</v>
      </c>
    </row>
    <row r="434" spans="1:27" x14ac:dyDescent="0.3">
      <c r="A434" t="s">
        <v>1503</v>
      </c>
      <c r="B434" s="8">
        <v>46282.623217592591</v>
      </c>
      <c r="C434" t="s">
        <v>2</v>
      </c>
      <c r="D434" t="s">
        <v>59</v>
      </c>
      <c r="E434" t="s">
        <v>1501</v>
      </c>
      <c r="F434" t="s">
        <v>3325</v>
      </c>
      <c r="G434" t="s">
        <v>21</v>
      </c>
      <c r="H434" t="s">
        <v>1100</v>
      </c>
      <c r="I434" t="s">
        <v>1424</v>
      </c>
      <c r="J434" t="s">
        <v>1425</v>
      </c>
      <c r="K434" t="s">
        <v>1500</v>
      </c>
      <c r="L434">
        <v>-101</v>
      </c>
      <c r="M434">
        <v>815</v>
      </c>
      <c r="N434">
        <v>85000</v>
      </c>
      <c r="Q434" t="s">
        <v>1504</v>
      </c>
      <c r="S434" t="s">
        <v>2525</v>
      </c>
      <c r="V434" t="s">
        <v>33</v>
      </c>
      <c r="W434" t="s">
        <v>1505</v>
      </c>
      <c r="Y434" t="s">
        <v>30</v>
      </c>
      <c r="Z434" t="s">
        <v>30</v>
      </c>
      <c r="AA434" t="s">
        <v>30</v>
      </c>
    </row>
    <row r="435" spans="1:27" x14ac:dyDescent="0.3">
      <c r="A435" t="s">
        <v>1506</v>
      </c>
      <c r="B435" s="8">
        <v>46282.623217592591</v>
      </c>
      <c r="C435" t="s">
        <v>2</v>
      </c>
      <c r="D435" t="s">
        <v>59</v>
      </c>
      <c r="E435" t="s">
        <v>1509</v>
      </c>
      <c r="F435" t="s">
        <v>3326</v>
      </c>
      <c r="G435" t="s">
        <v>21</v>
      </c>
      <c r="H435" t="s">
        <v>1100</v>
      </c>
      <c r="I435" t="s">
        <v>1472</v>
      </c>
      <c r="J435" t="s">
        <v>1507</v>
      </c>
      <c r="K435" t="s">
        <v>1508</v>
      </c>
      <c r="L435">
        <v>-111</v>
      </c>
      <c r="M435">
        <v>398</v>
      </c>
      <c r="N435">
        <v>95000</v>
      </c>
      <c r="O435">
        <v>31.898250000000001</v>
      </c>
      <c r="P435">
        <v>35.879666999999998</v>
      </c>
      <c r="Q435" t="s">
        <v>881</v>
      </c>
      <c r="R435" t="s">
        <v>3327</v>
      </c>
      <c r="S435" t="s">
        <v>2579</v>
      </c>
      <c r="U435" t="s">
        <v>3328</v>
      </c>
      <c r="V435" t="s">
        <v>33</v>
      </c>
      <c r="W435" t="s">
        <v>1510</v>
      </c>
      <c r="X435" t="s">
        <v>3329</v>
      </c>
      <c r="Y435" t="str">
        <f>IF(NOT("https://youtu.be/HnI2uq5itUI" = ""), HYPERLINK("https://youtu.be/HnI2uq5itUI", "فيديو"), "")</f>
        <v>فيديو</v>
      </c>
      <c r="Z435" t="str">
        <f>IF(NOT("https://truemarkets3d.net/3d-virtual-tour/housingbank-realestate/phase3/aq-re-100565/index.html" = ""), HYPERLINK("https://truemarkets3d.net/3d-virtual-tour/housingbank-realestate/phase3/aq-re-100565/index.html", "جولة"), "")</f>
        <v>جولة</v>
      </c>
      <c r="AA435" t="str">
        <f>IF(NOT("https://maps.app.goo.gl/LVzG22XCMkTF2GnN9" = ""), HYPERLINK("https://maps.app.goo.gl/LVzG22XCMkTF2GnN9", "موقع"), "")</f>
        <v>موقع</v>
      </c>
    </row>
    <row r="436" spans="1:27" x14ac:dyDescent="0.3">
      <c r="A436" t="s">
        <v>1511</v>
      </c>
      <c r="B436" s="8">
        <v>46282.623217592591</v>
      </c>
      <c r="C436" t="s">
        <v>2</v>
      </c>
      <c r="D436" t="s">
        <v>59</v>
      </c>
      <c r="E436" t="s">
        <v>1489</v>
      </c>
      <c r="F436" t="s">
        <v>3330</v>
      </c>
      <c r="G436" t="s">
        <v>21</v>
      </c>
      <c r="H436" t="s">
        <v>1100</v>
      </c>
      <c r="I436" t="s">
        <v>1101</v>
      </c>
      <c r="J436" t="s">
        <v>1102</v>
      </c>
      <c r="K436" t="s">
        <v>1512</v>
      </c>
      <c r="L436">
        <v>-101</v>
      </c>
      <c r="M436">
        <v>29</v>
      </c>
      <c r="N436">
        <v>108000</v>
      </c>
      <c r="Q436" t="s">
        <v>1513</v>
      </c>
      <c r="S436" t="s">
        <v>2525</v>
      </c>
      <c r="V436" t="s">
        <v>33</v>
      </c>
      <c r="W436" t="s">
        <v>1514</v>
      </c>
      <c r="Y436" t="s">
        <v>30</v>
      </c>
      <c r="Z436" t="s">
        <v>30</v>
      </c>
      <c r="AA436" t="s">
        <v>30</v>
      </c>
    </row>
    <row r="437" spans="1:27" x14ac:dyDescent="0.3">
      <c r="A437" t="s">
        <v>1515</v>
      </c>
      <c r="B437" s="8">
        <v>46282.623217592591</v>
      </c>
      <c r="C437" t="s">
        <v>2</v>
      </c>
      <c r="D437" t="s">
        <v>59</v>
      </c>
      <c r="E437" t="s">
        <v>1383</v>
      </c>
      <c r="F437" t="s">
        <v>3331</v>
      </c>
      <c r="G437" t="s">
        <v>21</v>
      </c>
      <c r="H437" t="s">
        <v>1100</v>
      </c>
      <c r="I437" t="s">
        <v>1263</v>
      </c>
      <c r="J437" t="s">
        <v>1381</v>
      </c>
      <c r="K437" t="s">
        <v>1382</v>
      </c>
      <c r="L437">
        <v>101</v>
      </c>
      <c r="M437">
        <v>403</v>
      </c>
      <c r="N437">
        <v>110000</v>
      </c>
      <c r="O437">
        <v>32.011721999999999</v>
      </c>
      <c r="P437">
        <v>35.861471999999999</v>
      </c>
      <c r="Q437" t="s">
        <v>1476</v>
      </c>
      <c r="R437" t="s">
        <v>3332</v>
      </c>
      <c r="S437" t="s">
        <v>2579</v>
      </c>
      <c r="U437" t="s">
        <v>3333</v>
      </c>
      <c r="V437" t="s">
        <v>28</v>
      </c>
      <c r="W437" t="s">
        <v>1516</v>
      </c>
      <c r="Y437" t="s">
        <v>30</v>
      </c>
      <c r="Z437" t="str">
        <f>IF(NOT("https://truemarkets3d.net/3d-virtual-tour/housingbank-realestate/phase3/aq-re-100028/index.html" = ""), HYPERLINK("https://truemarkets3d.net/3d-virtual-tour/housingbank-realestate/phase3/aq-re-100028/index.html", "جولة"), "")</f>
        <v>جولة</v>
      </c>
      <c r="AA437" t="str">
        <f>IF(NOT("https://maps.app.goo.gl/8xbcN4kXprhQ9SPx7" = ""), HYPERLINK("https://maps.app.goo.gl/8xbcN4kXprhQ9SPx7", "موقع"), "")</f>
        <v>موقع</v>
      </c>
    </row>
    <row r="438" spans="1:27" x14ac:dyDescent="0.3">
      <c r="A438" t="s">
        <v>1517</v>
      </c>
      <c r="B438" s="8">
        <v>46282.623217592591</v>
      </c>
      <c r="C438" t="s">
        <v>2</v>
      </c>
      <c r="D438" t="s">
        <v>59</v>
      </c>
      <c r="E438" t="s">
        <v>1519</v>
      </c>
      <c r="F438" t="s">
        <v>3334</v>
      </c>
      <c r="G438" t="s">
        <v>21</v>
      </c>
      <c r="H438" t="s">
        <v>1100</v>
      </c>
      <c r="I438" t="s">
        <v>1101</v>
      </c>
      <c r="J438" t="s">
        <v>1102</v>
      </c>
      <c r="K438" t="s">
        <v>1518</v>
      </c>
      <c r="L438">
        <v>111</v>
      </c>
      <c r="M438">
        <v>1121</v>
      </c>
      <c r="N438">
        <v>115000</v>
      </c>
      <c r="O438">
        <v>31.981306</v>
      </c>
      <c r="P438">
        <v>35.913806000000001</v>
      </c>
      <c r="Q438" t="s">
        <v>1520</v>
      </c>
      <c r="S438" t="s">
        <v>2525</v>
      </c>
      <c r="U438" t="s">
        <v>3335</v>
      </c>
      <c r="V438" t="s">
        <v>43</v>
      </c>
      <c r="W438" t="s">
        <v>1521</v>
      </c>
      <c r="Y438" t="s">
        <v>30</v>
      </c>
      <c r="Z438" t="s">
        <v>30</v>
      </c>
      <c r="AA438" t="str">
        <f>IF(NOT("https://maps.app.goo.gl/BmWitPWPQ29bRjzo6" = ""), HYPERLINK("https://maps.app.goo.gl/BmWitPWPQ29bRjzo6", "موقع"), "")</f>
        <v>موقع</v>
      </c>
    </row>
    <row r="439" spans="1:27" x14ac:dyDescent="0.3">
      <c r="A439" t="s">
        <v>1522</v>
      </c>
      <c r="B439" s="8">
        <v>46282.623217592591</v>
      </c>
      <c r="C439" t="s">
        <v>2</v>
      </c>
      <c r="D439" t="s">
        <v>59</v>
      </c>
      <c r="E439" t="s">
        <v>1524</v>
      </c>
      <c r="F439" t="s">
        <v>3336</v>
      </c>
      <c r="G439" t="s">
        <v>21</v>
      </c>
      <c r="H439" t="s">
        <v>1100</v>
      </c>
      <c r="I439" t="s">
        <v>1424</v>
      </c>
      <c r="J439" t="s">
        <v>1425</v>
      </c>
      <c r="K439" t="s">
        <v>1523</v>
      </c>
      <c r="L439">
        <v>111</v>
      </c>
      <c r="M439">
        <v>1278</v>
      </c>
      <c r="N439">
        <v>127000</v>
      </c>
      <c r="Q439" t="s">
        <v>1525</v>
      </c>
      <c r="R439" t="s">
        <v>3337</v>
      </c>
      <c r="S439" t="s">
        <v>2579</v>
      </c>
      <c r="V439" t="s">
        <v>43</v>
      </c>
      <c r="W439" t="s">
        <v>1526</v>
      </c>
      <c r="Y439" t="s">
        <v>30</v>
      </c>
      <c r="Z439" t="str">
        <f>IF(NOT("https://www.true-markets.net/media/360tour/housing-bank/1278-111/index.html" = ""), HYPERLINK("https://www.true-markets.net/media/360tour/housing-bank/1278-111/index.html", "جولة"), "")</f>
        <v>جولة</v>
      </c>
      <c r="AA439" t="s">
        <v>30</v>
      </c>
    </row>
    <row r="440" spans="1:27" x14ac:dyDescent="0.3">
      <c r="A440" t="s">
        <v>1527</v>
      </c>
      <c r="B440" s="8">
        <v>46282.623217592591</v>
      </c>
      <c r="C440" t="s">
        <v>2</v>
      </c>
      <c r="D440" t="s">
        <v>59</v>
      </c>
      <c r="E440" t="s">
        <v>1529</v>
      </c>
      <c r="F440" t="s">
        <v>3338</v>
      </c>
      <c r="G440" t="s">
        <v>21</v>
      </c>
      <c r="H440" t="s">
        <v>1100</v>
      </c>
      <c r="I440" t="s">
        <v>1101</v>
      </c>
      <c r="J440" t="s">
        <v>1102</v>
      </c>
      <c r="K440" t="s">
        <v>1528</v>
      </c>
      <c r="L440">
        <v>-101</v>
      </c>
      <c r="M440">
        <v>568</v>
      </c>
      <c r="N440">
        <v>164000</v>
      </c>
      <c r="O440">
        <v>31.971361000000002</v>
      </c>
      <c r="P440">
        <v>35.865443999999997</v>
      </c>
      <c r="Q440" t="s">
        <v>1530</v>
      </c>
      <c r="S440" t="s">
        <v>2525</v>
      </c>
      <c r="U440" t="s">
        <v>3339</v>
      </c>
      <c r="V440" t="s">
        <v>43</v>
      </c>
      <c r="W440" t="s">
        <v>1531</v>
      </c>
      <c r="Y440" t="s">
        <v>30</v>
      </c>
      <c r="Z440" t="s">
        <v>30</v>
      </c>
      <c r="AA440" t="str">
        <f>IF(NOT("https://maps.app.goo.gl/vRVuvgwGBAgdEN5k6" = ""), HYPERLINK("https://maps.app.goo.gl/vRVuvgwGBAgdEN5k6", "موقع"), "")</f>
        <v>موقع</v>
      </c>
    </row>
    <row r="441" spans="1:27" x14ac:dyDescent="0.3">
      <c r="A441" t="s">
        <v>1532</v>
      </c>
      <c r="B441" s="8">
        <v>46282.623217592591</v>
      </c>
      <c r="C441" t="s">
        <v>2</v>
      </c>
      <c r="D441" t="s">
        <v>59</v>
      </c>
      <c r="E441" t="s">
        <v>1342</v>
      </c>
      <c r="F441" t="s">
        <v>3340</v>
      </c>
      <c r="G441" t="s">
        <v>21</v>
      </c>
      <c r="H441" t="s">
        <v>1100</v>
      </c>
      <c r="I441" t="s">
        <v>1143</v>
      </c>
      <c r="J441" t="s">
        <v>1340</v>
      </c>
      <c r="K441" t="s">
        <v>1341</v>
      </c>
      <c r="L441">
        <v>0</v>
      </c>
      <c r="M441">
        <v>1317</v>
      </c>
      <c r="N441">
        <v>224000</v>
      </c>
      <c r="Q441" t="s">
        <v>1533</v>
      </c>
      <c r="S441" t="s">
        <v>2525</v>
      </c>
      <c r="V441" t="s">
        <v>43</v>
      </c>
      <c r="W441" t="s">
        <v>1534</v>
      </c>
      <c r="Y441" t="s">
        <v>30</v>
      </c>
      <c r="Z441" t="s">
        <v>30</v>
      </c>
      <c r="AA441" t="s">
        <v>30</v>
      </c>
    </row>
    <row r="442" spans="1:27" x14ac:dyDescent="0.3">
      <c r="A442" t="s">
        <v>1535</v>
      </c>
      <c r="B442" s="8">
        <v>46282.623217592591</v>
      </c>
      <c r="C442" t="s">
        <v>2</v>
      </c>
      <c r="D442" t="s">
        <v>59</v>
      </c>
      <c r="E442" t="s">
        <v>1538</v>
      </c>
      <c r="F442" t="s">
        <v>3341</v>
      </c>
      <c r="G442" t="s">
        <v>21</v>
      </c>
      <c r="H442" t="s">
        <v>1100</v>
      </c>
      <c r="I442" t="s">
        <v>1143</v>
      </c>
      <c r="J442" t="s">
        <v>1536</v>
      </c>
      <c r="K442" t="s">
        <v>1537</v>
      </c>
      <c r="L442">
        <v>-102</v>
      </c>
      <c r="M442">
        <v>2389</v>
      </c>
      <c r="N442">
        <v>266000</v>
      </c>
      <c r="O442">
        <v>31.814278000000002</v>
      </c>
      <c r="P442">
        <v>35.935471999999997</v>
      </c>
      <c r="Q442" t="s">
        <v>1539</v>
      </c>
      <c r="S442" t="s">
        <v>2525</v>
      </c>
      <c r="U442" t="s">
        <v>3342</v>
      </c>
      <c r="V442" t="s">
        <v>43</v>
      </c>
      <c r="W442" t="s">
        <v>1540</v>
      </c>
      <c r="Y442" t="s">
        <v>30</v>
      </c>
      <c r="Z442" t="s">
        <v>30</v>
      </c>
      <c r="AA442" t="str">
        <f>IF(NOT("https://maps.app.goo.gl/KaDDJoWaGssoh92q8" = ""), HYPERLINK("https://maps.app.goo.gl/KaDDJoWaGssoh92q8", "موقع"), "")</f>
        <v>موقع</v>
      </c>
    </row>
    <row r="443" spans="1:27" x14ac:dyDescent="0.3">
      <c r="A443" t="s">
        <v>1541</v>
      </c>
      <c r="B443" s="8">
        <v>46282.623217592591</v>
      </c>
      <c r="C443" t="s">
        <v>2</v>
      </c>
      <c r="D443" t="s">
        <v>59</v>
      </c>
      <c r="E443" t="s">
        <v>1543</v>
      </c>
      <c r="F443" t="s">
        <v>3305</v>
      </c>
      <c r="G443" t="s">
        <v>21</v>
      </c>
      <c r="H443" t="s">
        <v>1100</v>
      </c>
      <c r="I443" t="s">
        <v>1263</v>
      </c>
      <c r="J443" t="s">
        <v>1329</v>
      </c>
      <c r="K443" t="s">
        <v>1542</v>
      </c>
      <c r="L443">
        <v>-101</v>
      </c>
      <c r="M443">
        <v>210</v>
      </c>
      <c r="O443">
        <v>31.998611</v>
      </c>
      <c r="P443">
        <v>35.876111000000002</v>
      </c>
      <c r="Q443" t="s">
        <v>1544</v>
      </c>
      <c r="S443" t="s">
        <v>2525</v>
      </c>
      <c r="U443" t="s">
        <v>3343</v>
      </c>
      <c r="V443" t="s">
        <v>33</v>
      </c>
      <c r="Y443" t="s">
        <v>30</v>
      </c>
      <c r="Z443" t="s">
        <v>30</v>
      </c>
      <c r="AA443" t="str">
        <f>IF(NOT("https://maps.app.goo.gl/uuwou1eBXmjeqxDh6" = ""), HYPERLINK("https://maps.app.goo.gl/uuwou1eBXmjeqxDh6", "موقع"), "")</f>
        <v>موقع</v>
      </c>
    </row>
    <row r="444" spans="1:27" x14ac:dyDescent="0.3">
      <c r="A444" t="s">
        <v>1545</v>
      </c>
      <c r="B444" s="8">
        <v>46282.623217592591</v>
      </c>
      <c r="C444" t="s">
        <v>2</v>
      </c>
      <c r="D444" t="s">
        <v>59</v>
      </c>
      <c r="E444" t="s">
        <v>1479</v>
      </c>
      <c r="F444" t="s">
        <v>3344</v>
      </c>
      <c r="G444" t="s">
        <v>21</v>
      </c>
      <c r="H444" t="s">
        <v>1100</v>
      </c>
      <c r="I444" t="s">
        <v>1424</v>
      </c>
      <c r="J444" t="s">
        <v>1425</v>
      </c>
      <c r="K444" t="s">
        <v>1546</v>
      </c>
      <c r="L444">
        <v>-101</v>
      </c>
      <c r="M444">
        <v>1571</v>
      </c>
      <c r="O444">
        <v>31.972528000000001</v>
      </c>
      <c r="P444">
        <v>35.852722</v>
      </c>
      <c r="Q444" t="s">
        <v>559</v>
      </c>
      <c r="R444" t="s">
        <v>3345</v>
      </c>
      <c r="S444" t="s">
        <v>2579</v>
      </c>
      <c r="U444" t="s">
        <v>3346</v>
      </c>
      <c r="V444" t="s">
        <v>28</v>
      </c>
      <c r="Y444" t="s">
        <v>30</v>
      </c>
      <c r="Z444" t="str">
        <f>IF(NOT("https://truemarkets3d.net/3d-virtual-tour/housingbank-realestate/phase3/aq-re-100092/index.html" = ""), HYPERLINK("https://truemarkets3d.net/3d-virtual-tour/housingbank-realestate/phase3/aq-re-100092/index.html", "جولة"), "")</f>
        <v>جولة</v>
      </c>
      <c r="AA444" t="str">
        <f>IF(NOT("https://maps.app.goo.gl/rWQieDR7xY2LBKWo7" = ""), HYPERLINK("https://maps.app.goo.gl/rWQieDR7xY2LBKWo7", "موقع"), "")</f>
        <v>موقع</v>
      </c>
    </row>
    <row r="445" spans="1:27" x14ac:dyDescent="0.3">
      <c r="A445" t="s">
        <v>1547</v>
      </c>
      <c r="B445" s="8">
        <v>46282.623217592591</v>
      </c>
      <c r="C445" t="s">
        <v>2</v>
      </c>
      <c r="D445" t="s">
        <v>59</v>
      </c>
      <c r="E445" t="s">
        <v>225</v>
      </c>
      <c r="F445" t="s">
        <v>3141</v>
      </c>
      <c r="G445" t="s">
        <v>21</v>
      </c>
      <c r="H445" t="s">
        <v>1100</v>
      </c>
      <c r="I445" t="s">
        <v>1263</v>
      </c>
      <c r="J445" t="s">
        <v>1399</v>
      </c>
      <c r="K445" t="s">
        <v>1548</v>
      </c>
      <c r="L445">
        <v>123</v>
      </c>
      <c r="M445">
        <v>1000</v>
      </c>
      <c r="O445">
        <v>32.017721999999999</v>
      </c>
      <c r="P445">
        <v>35.863943999999996</v>
      </c>
      <c r="Q445" t="s">
        <v>1237</v>
      </c>
      <c r="R445" t="s">
        <v>3347</v>
      </c>
      <c r="S445" t="s">
        <v>2579</v>
      </c>
      <c r="U445" t="s">
        <v>3348</v>
      </c>
      <c r="V445" t="s">
        <v>73</v>
      </c>
      <c r="Y445" t="s">
        <v>30</v>
      </c>
      <c r="Z445" t="str">
        <f>IF(NOT("https://truemarkets3d.net/3d-virtual-tour/housingbank-realestate/phase3/aq-re-100491/index.html" = ""), HYPERLINK("https://truemarkets3d.net/3d-virtual-tour/housingbank-realestate/phase3/aq-re-100491/index.html", "جولة"), "")</f>
        <v>جولة</v>
      </c>
      <c r="AA445" t="str">
        <f>IF(NOT("https://maps.app.goo.gl/2K8DhtmGr8pKxB687" = ""), HYPERLINK("https://maps.app.goo.gl/2K8DhtmGr8pKxB687", "موقع"), "")</f>
        <v>موقع</v>
      </c>
    </row>
    <row r="446" spans="1:27" x14ac:dyDescent="0.3">
      <c r="A446" t="s">
        <v>1549</v>
      </c>
      <c r="B446" s="8">
        <v>46282.623217592591</v>
      </c>
      <c r="C446" t="s">
        <v>2</v>
      </c>
      <c r="D446" t="s">
        <v>59</v>
      </c>
      <c r="E446" t="s">
        <v>1383</v>
      </c>
      <c r="F446" t="s">
        <v>3349</v>
      </c>
      <c r="G446" t="s">
        <v>21</v>
      </c>
      <c r="H446" t="s">
        <v>1100</v>
      </c>
      <c r="I446" t="s">
        <v>1263</v>
      </c>
      <c r="J446" t="s">
        <v>1381</v>
      </c>
      <c r="K446" t="s">
        <v>1550</v>
      </c>
      <c r="L446">
        <v>112</v>
      </c>
      <c r="M446">
        <v>149</v>
      </c>
      <c r="O446">
        <v>31.983028000000001</v>
      </c>
      <c r="P446">
        <v>35.868000000000002</v>
      </c>
      <c r="Q446" t="s">
        <v>1551</v>
      </c>
      <c r="R446" t="s">
        <v>3350</v>
      </c>
      <c r="S446" t="s">
        <v>2579</v>
      </c>
      <c r="T446" t="s">
        <v>3351</v>
      </c>
      <c r="U446" t="s">
        <v>3352</v>
      </c>
      <c r="V446" t="s">
        <v>43</v>
      </c>
      <c r="Y446" t="s">
        <v>30</v>
      </c>
      <c r="Z446" t="str">
        <f>IF(NOT("https://truemarkets3d.net/3d-virtual-tour/housingbank-realestate/phase3/aq-re-100546/index.html" = ""), HYPERLINK("https://truemarkets3d.net/3d-virtual-tour/housingbank-realestate/phase3/aq-re-100546/index.html", "جولة"), "")</f>
        <v>جولة</v>
      </c>
      <c r="AA446" t="str">
        <f>IF(NOT("https://maps.app.goo.gl/vTdfqhSSzgct8SgY9" = ""), HYPERLINK("https://maps.app.goo.gl/vTdfqhSSzgct8SgY9", "موقع"), "")</f>
        <v>موقع</v>
      </c>
    </row>
    <row r="447" spans="1:27" x14ac:dyDescent="0.3">
      <c r="A447" t="s">
        <v>1552</v>
      </c>
      <c r="B447" s="8">
        <v>46282.623217592591</v>
      </c>
      <c r="C447" t="s">
        <v>2</v>
      </c>
      <c r="D447" t="s">
        <v>59</v>
      </c>
      <c r="E447" t="s">
        <v>1553</v>
      </c>
      <c r="F447" t="s">
        <v>3353</v>
      </c>
      <c r="G447" t="s">
        <v>21</v>
      </c>
      <c r="H447" t="s">
        <v>1100</v>
      </c>
      <c r="I447" t="s">
        <v>1143</v>
      </c>
      <c r="J447" t="s">
        <v>1175</v>
      </c>
      <c r="K447" t="s">
        <v>1201</v>
      </c>
      <c r="L447">
        <v>104</v>
      </c>
      <c r="M447">
        <v>402</v>
      </c>
      <c r="O447">
        <v>31.901111</v>
      </c>
      <c r="P447">
        <v>35.993028000000002</v>
      </c>
      <c r="Q447" t="s">
        <v>1554</v>
      </c>
      <c r="S447" t="s">
        <v>2525</v>
      </c>
      <c r="U447" t="s">
        <v>3354</v>
      </c>
      <c r="V447" t="s">
        <v>28</v>
      </c>
      <c r="Y447" t="s">
        <v>30</v>
      </c>
      <c r="Z447" t="s">
        <v>30</v>
      </c>
      <c r="AA447" t="str">
        <f>IF(NOT("https://maps.app.goo.gl/2YjnkWsNQRf4pX8J7" = ""), HYPERLINK("https://maps.app.goo.gl/2YjnkWsNQRf4pX8J7", "موقع"), "")</f>
        <v>موقع</v>
      </c>
    </row>
    <row r="448" spans="1:27" x14ac:dyDescent="0.3">
      <c r="A448" t="s">
        <v>1555</v>
      </c>
      <c r="B448" s="8">
        <v>46282.623217592591</v>
      </c>
      <c r="C448" t="s">
        <v>2</v>
      </c>
      <c r="D448" t="s">
        <v>59</v>
      </c>
      <c r="E448" t="s">
        <v>1557</v>
      </c>
      <c r="F448" t="s">
        <v>3355</v>
      </c>
      <c r="G448" t="s">
        <v>21</v>
      </c>
      <c r="H448" t="s">
        <v>1100</v>
      </c>
      <c r="I448" t="s">
        <v>1424</v>
      </c>
      <c r="J448" t="s">
        <v>1425</v>
      </c>
      <c r="K448" t="s">
        <v>1556</v>
      </c>
      <c r="L448">
        <v>-101</v>
      </c>
      <c r="M448">
        <v>1324</v>
      </c>
      <c r="O448">
        <v>31.944056</v>
      </c>
      <c r="P448">
        <v>35.853082999999998</v>
      </c>
      <c r="Q448" t="s">
        <v>1558</v>
      </c>
      <c r="R448" t="s">
        <v>3356</v>
      </c>
      <c r="S448" t="s">
        <v>2579</v>
      </c>
      <c r="U448" t="s">
        <v>3357</v>
      </c>
      <c r="V448" t="s">
        <v>33</v>
      </c>
      <c r="Y448" t="s">
        <v>30</v>
      </c>
      <c r="Z448" t="str">
        <f>IF(NOT("https://truemarkets3d.net/3d-virtual-tour/housingbank-realestate/phase3/aq-re-100463/index.html" = ""), HYPERLINK("https://truemarkets3d.net/3d-virtual-tour/housingbank-realestate/phase3/aq-re-100463/index.html", "جولة"), "")</f>
        <v>جولة</v>
      </c>
      <c r="AA448" t="str">
        <f>IF(NOT("https://maps.app.goo.gl/AF8w9PXWWfnBnA1y7" = ""), HYPERLINK("https://maps.app.goo.gl/AF8w9PXWWfnBnA1y7", "موقع"), "")</f>
        <v>موقع</v>
      </c>
    </row>
    <row r="449" spans="1:27" x14ac:dyDescent="0.3">
      <c r="A449" t="s">
        <v>1559</v>
      </c>
      <c r="B449" s="8">
        <v>46282.623217592591</v>
      </c>
      <c r="C449" t="s">
        <v>2</v>
      </c>
      <c r="D449" t="s">
        <v>59</v>
      </c>
      <c r="E449" t="s">
        <v>1493</v>
      </c>
      <c r="F449" t="s">
        <v>3358</v>
      </c>
      <c r="G449" t="s">
        <v>21</v>
      </c>
      <c r="H449" t="s">
        <v>1100</v>
      </c>
      <c r="I449" t="s">
        <v>1424</v>
      </c>
      <c r="J449" t="s">
        <v>1425</v>
      </c>
      <c r="K449" t="s">
        <v>1492</v>
      </c>
      <c r="L449">
        <v>-101</v>
      </c>
      <c r="M449">
        <v>870</v>
      </c>
      <c r="Q449" t="s">
        <v>1560</v>
      </c>
      <c r="R449" t="s">
        <v>3359</v>
      </c>
      <c r="S449" t="s">
        <v>2579</v>
      </c>
      <c r="V449" t="s">
        <v>43</v>
      </c>
      <c r="Y449" t="s">
        <v>30</v>
      </c>
      <c r="Z449" t="str">
        <f>IF(NOT("https://truemarkets3d.net/3d-virtual-tour/housingbank-realestate/phase3/aq-re-100969/index.html" = ""), HYPERLINK("https://truemarkets3d.net/3d-virtual-tour/housingbank-realestate/phase3/aq-re-100969/index.html", "جولة"), "")</f>
        <v>جولة</v>
      </c>
      <c r="AA449" t="s">
        <v>30</v>
      </c>
    </row>
    <row r="450" spans="1:27" x14ac:dyDescent="0.3">
      <c r="A450" t="s">
        <v>1561</v>
      </c>
      <c r="B450" s="8">
        <v>46282.623217592591</v>
      </c>
      <c r="C450" t="s">
        <v>2</v>
      </c>
      <c r="D450" t="s">
        <v>59</v>
      </c>
      <c r="E450" t="s">
        <v>1165</v>
      </c>
      <c r="F450" t="s">
        <v>3360</v>
      </c>
      <c r="G450" t="s">
        <v>21</v>
      </c>
      <c r="H450" t="s">
        <v>1100</v>
      </c>
      <c r="I450" t="s">
        <v>1162</v>
      </c>
      <c r="J450" t="s">
        <v>1163</v>
      </c>
      <c r="K450" t="s">
        <v>1562</v>
      </c>
      <c r="L450">
        <v>122</v>
      </c>
      <c r="M450">
        <v>578</v>
      </c>
      <c r="O450">
        <v>31.978583</v>
      </c>
      <c r="P450">
        <v>35.991306000000002</v>
      </c>
      <c r="Q450" t="s">
        <v>1563</v>
      </c>
      <c r="R450" t="s">
        <v>3361</v>
      </c>
      <c r="S450" t="s">
        <v>2579</v>
      </c>
      <c r="U450" t="s">
        <v>3362</v>
      </c>
      <c r="V450" t="s">
        <v>73</v>
      </c>
      <c r="Y450" t="s">
        <v>30</v>
      </c>
      <c r="Z450" t="str">
        <f>IF(NOT("https://truemarkets3d.net/3d-virtual-tour/housingbank-realestate/phase3/aq-re-100408/index.html" = ""), HYPERLINK("https://truemarkets3d.net/3d-virtual-tour/housingbank-realestate/phase3/aq-re-100408/index.html", "جولة"), "")</f>
        <v>جولة</v>
      </c>
      <c r="AA450" t="str">
        <f>IF(NOT("https://maps.app.goo.gl/SLMKPZzonANSgeXX9" = ""), HYPERLINK("https://maps.app.goo.gl/SLMKPZzonANSgeXX9", "موقع"), "")</f>
        <v>موقع</v>
      </c>
    </row>
    <row r="451" spans="1:27" x14ac:dyDescent="0.3">
      <c r="A451" t="s">
        <v>1564</v>
      </c>
      <c r="B451" s="8">
        <v>46282.623217592591</v>
      </c>
      <c r="C451" t="s">
        <v>2</v>
      </c>
      <c r="D451" t="s">
        <v>59</v>
      </c>
      <c r="E451" t="s">
        <v>1165</v>
      </c>
      <c r="F451" t="s">
        <v>3363</v>
      </c>
      <c r="G451" t="s">
        <v>21</v>
      </c>
      <c r="H451" t="s">
        <v>1100</v>
      </c>
      <c r="I451" t="s">
        <v>1162</v>
      </c>
      <c r="J451" t="s">
        <v>1163</v>
      </c>
      <c r="K451" t="s">
        <v>1562</v>
      </c>
      <c r="L451">
        <v>112</v>
      </c>
      <c r="M451">
        <v>855</v>
      </c>
      <c r="Q451" t="s">
        <v>850</v>
      </c>
      <c r="S451" t="s">
        <v>2525</v>
      </c>
      <c r="V451" t="s">
        <v>43</v>
      </c>
      <c r="Y451" t="s">
        <v>30</v>
      </c>
      <c r="Z451" t="s">
        <v>30</v>
      </c>
      <c r="AA451" t="s">
        <v>30</v>
      </c>
    </row>
    <row r="452" spans="1:27" x14ac:dyDescent="0.3">
      <c r="A452" t="s">
        <v>1565</v>
      </c>
      <c r="B452" s="8">
        <v>46282.623217592591</v>
      </c>
      <c r="C452" t="s">
        <v>2</v>
      </c>
      <c r="D452" t="s">
        <v>59</v>
      </c>
      <c r="E452" t="s">
        <v>1493</v>
      </c>
      <c r="F452" t="s">
        <v>3364</v>
      </c>
      <c r="G452" t="s">
        <v>21</v>
      </c>
      <c r="H452" t="s">
        <v>1100</v>
      </c>
      <c r="I452" t="s">
        <v>1424</v>
      </c>
      <c r="J452" t="s">
        <v>1425</v>
      </c>
      <c r="K452" t="s">
        <v>1492</v>
      </c>
      <c r="L452">
        <v>-101</v>
      </c>
      <c r="M452">
        <v>1825</v>
      </c>
      <c r="Q452" t="s">
        <v>1566</v>
      </c>
      <c r="S452" t="s">
        <v>2525</v>
      </c>
      <c r="V452" t="s">
        <v>28</v>
      </c>
      <c r="Y452" t="s">
        <v>30</v>
      </c>
      <c r="Z452" t="s">
        <v>30</v>
      </c>
      <c r="AA452" t="s">
        <v>30</v>
      </c>
    </row>
    <row r="453" spans="1:27" x14ac:dyDescent="0.3">
      <c r="A453" t="s">
        <v>1567</v>
      </c>
      <c r="B453" s="8">
        <v>46282.623217592591</v>
      </c>
      <c r="C453" t="s">
        <v>2</v>
      </c>
      <c r="D453" t="s">
        <v>59</v>
      </c>
      <c r="E453" t="s">
        <v>1185</v>
      </c>
      <c r="F453" t="s">
        <v>3365</v>
      </c>
      <c r="G453" t="s">
        <v>21</v>
      </c>
      <c r="H453" t="s">
        <v>1100</v>
      </c>
      <c r="I453" t="s">
        <v>1162</v>
      </c>
      <c r="J453" t="s">
        <v>1183</v>
      </c>
      <c r="K453" t="s">
        <v>333</v>
      </c>
      <c r="L453">
        <v>131</v>
      </c>
      <c r="M453">
        <v>576</v>
      </c>
      <c r="O453">
        <v>31.986443999999999</v>
      </c>
      <c r="P453">
        <v>35.946416999999997</v>
      </c>
      <c r="Q453" t="s">
        <v>1568</v>
      </c>
      <c r="R453" t="s">
        <v>3366</v>
      </c>
      <c r="S453" t="s">
        <v>2579</v>
      </c>
      <c r="U453" t="s">
        <v>3367</v>
      </c>
      <c r="V453" t="s">
        <v>55</v>
      </c>
      <c r="Y453" t="s">
        <v>30</v>
      </c>
      <c r="Z453" t="str">
        <f>IF(NOT("https://truemarkets3d.net/3d-virtual-tour/housingbank-realestate/phase3/aq-re-100209/index.html" = ""), HYPERLINK("https://truemarkets3d.net/3d-virtual-tour/housingbank-realestate/phase3/aq-re-100209/index.html", "جولة"), "")</f>
        <v>جولة</v>
      </c>
      <c r="AA453" t="str">
        <f>IF(NOT("https://maps.app.goo.gl/6RTC5AfjCgCP24wy5" = ""), HYPERLINK("https://maps.app.goo.gl/6RTC5AfjCgCP24wy5", "موقع"), "")</f>
        <v>موقع</v>
      </c>
    </row>
    <row r="454" spans="1:27" x14ac:dyDescent="0.3">
      <c r="A454" t="s">
        <v>1569</v>
      </c>
      <c r="B454" s="8">
        <v>46282.623217592591</v>
      </c>
      <c r="C454" t="s">
        <v>2</v>
      </c>
      <c r="D454" t="s">
        <v>59</v>
      </c>
      <c r="E454" t="s">
        <v>1165</v>
      </c>
      <c r="F454" t="s">
        <v>3368</v>
      </c>
      <c r="G454" t="s">
        <v>21</v>
      </c>
      <c r="H454" t="s">
        <v>1100</v>
      </c>
      <c r="I454" t="s">
        <v>1162</v>
      </c>
      <c r="J454" t="s">
        <v>1163</v>
      </c>
      <c r="K454" t="s">
        <v>1562</v>
      </c>
      <c r="L454">
        <v>132</v>
      </c>
      <c r="M454">
        <v>578</v>
      </c>
      <c r="O454">
        <v>31.978583</v>
      </c>
      <c r="P454">
        <v>35.991306000000002</v>
      </c>
      <c r="Q454" t="s">
        <v>165</v>
      </c>
      <c r="R454" t="s">
        <v>3361</v>
      </c>
      <c r="S454" t="s">
        <v>2579</v>
      </c>
      <c r="U454" t="s">
        <v>3369</v>
      </c>
      <c r="V454" t="s">
        <v>55</v>
      </c>
      <c r="Y454" t="s">
        <v>30</v>
      </c>
      <c r="Z454" t="str">
        <f>IF(NOT("https://truemarkets3d.net/3d-virtual-tour/housingbank-realestate/phase3/aq-re-100408/index.html" = ""), HYPERLINK("https://truemarkets3d.net/3d-virtual-tour/housingbank-realestate/phase3/aq-re-100408/index.html", "جولة"), "")</f>
        <v>جولة</v>
      </c>
      <c r="AA454" t="str">
        <f>IF(NOT("https://maps.app.goo.gl/4zBnzzMH3hGj66hr9" = ""), HYPERLINK("https://maps.app.goo.gl/4zBnzzMH3hGj66hr9", "موقع"), "")</f>
        <v>موقع</v>
      </c>
    </row>
    <row r="455" spans="1:27" x14ac:dyDescent="0.3">
      <c r="A455" t="s">
        <v>1570</v>
      </c>
      <c r="B455" s="8">
        <v>46282.623217592591</v>
      </c>
      <c r="C455" t="s">
        <v>2</v>
      </c>
      <c r="D455" t="s">
        <v>59</v>
      </c>
      <c r="E455" t="s">
        <v>225</v>
      </c>
      <c r="F455" t="s">
        <v>3370</v>
      </c>
      <c r="G455" t="s">
        <v>21</v>
      </c>
      <c r="H455" t="s">
        <v>1100</v>
      </c>
      <c r="I455" t="s">
        <v>1263</v>
      </c>
      <c r="J455" t="s">
        <v>1399</v>
      </c>
      <c r="K455" t="s">
        <v>1548</v>
      </c>
      <c r="L455">
        <v>121</v>
      </c>
      <c r="M455">
        <v>1000</v>
      </c>
      <c r="O455">
        <v>32.017721999999999</v>
      </c>
      <c r="P455">
        <v>35.863943999999996</v>
      </c>
      <c r="Q455" t="s">
        <v>1571</v>
      </c>
      <c r="R455" t="s">
        <v>3347</v>
      </c>
      <c r="S455" t="s">
        <v>2579</v>
      </c>
      <c r="U455" t="s">
        <v>3348</v>
      </c>
      <c r="V455" t="s">
        <v>73</v>
      </c>
      <c r="Y455" t="s">
        <v>30</v>
      </c>
      <c r="Z455" t="str">
        <f>IF(NOT("https://truemarkets3d.net/3d-virtual-tour/housingbank-realestate/phase3/aq-re-100491/index.html" = ""), HYPERLINK("https://truemarkets3d.net/3d-virtual-tour/housingbank-realestate/phase3/aq-re-100491/index.html", "جولة"), "")</f>
        <v>جولة</v>
      </c>
      <c r="AA455" t="str">
        <f>IF(NOT("https://maps.app.goo.gl/2K8DhtmGr8pKxB687" = ""), HYPERLINK("https://maps.app.goo.gl/2K8DhtmGr8pKxB687", "موقع"), "")</f>
        <v>موقع</v>
      </c>
    </row>
    <row r="456" spans="1:27" x14ac:dyDescent="0.3">
      <c r="A456" t="s">
        <v>1572</v>
      </c>
      <c r="B456" s="8">
        <v>46282.623217592591</v>
      </c>
      <c r="C456" t="s">
        <v>2</v>
      </c>
      <c r="D456" t="s">
        <v>59</v>
      </c>
      <c r="E456" t="s">
        <v>1574</v>
      </c>
      <c r="F456" t="s">
        <v>3371</v>
      </c>
      <c r="G456" t="s">
        <v>21</v>
      </c>
      <c r="H456" t="s">
        <v>1100</v>
      </c>
      <c r="I456" t="s">
        <v>1101</v>
      </c>
      <c r="J456" t="s">
        <v>1102</v>
      </c>
      <c r="K456" t="s">
        <v>1573</v>
      </c>
      <c r="L456">
        <v>-101</v>
      </c>
      <c r="M456">
        <v>1066</v>
      </c>
      <c r="O456">
        <v>31.980499999999999</v>
      </c>
      <c r="P456">
        <v>35.934888999999998</v>
      </c>
      <c r="Q456" t="s">
        <v>1358</v>
      </c>
      <c r="S456" t="s">
        <v>2525</v>
      </c>
      <c r="U456" t="s">
        <v>3372</v>
      </c>
      <c r="V456" t="s">
        <v>33</v>
      </c>
      <c r="Y456" t="s">
        <v>30</v>
      </c>
      <c r="Z456" t="s">
        <v>30</v>
      </c>
      <c r="AA456" t="str">
        <f>IF(NOT("https://maps.app.goo.gl/H3C8bfa2CGGz3adh9" = ""), HYPERLINK("https://maps.app.goo.gl/H3C8bfa2CGGz3adh9", "موقع"), "")</f>
        <v>موقع</v>
      </c>
    </row>
    <row r="457" spans="1:27" x14ac:dyDescent="0.3">
      <c r="A457" t="s">
        <v>1575</v>
      </c>
      <c r="B457" s="8">
        <v>46282.623217592591</v>
      </c>
      <c r="C457" t="s">
        <v>2</v>
      </c>
      <c r="D457" t="s">
        <v>59</v>
      </c>
      <c r="E457" t="s">
        <v>1383</v>
      </c>
      <c r="F457" t="s">
        <v>3373</v>
      </c>
      <c r="G457" t="s">
        <v>21</v>
      </c>
      <c r="H457" t="s">
        <v>1100</v>
      </c>
      <c r="I457" t="s">
        <v>1263</v>
      </c>
      <c r="J457" t="s">
        <v>1381</v>
      </c>
      <c r="K457" t="s">
        <v>1382</v>
      </c>
      <c r="L457">
        <v>101</v>
      </c>
      <c r="M457">
        <v>1491</v>
      </c>
      <c r="O457">
        <v>32.003194000000001</v>
      </c>
      <c r="P457">
        <v>35.862499999999997</v>
      </c>
      <c r="Q457" t="s">
        <v>136</v>
      </c>
      <c r="S457" t="s">
        <v>2525</v>
      </c>
      <c r="U457" t="s">
        <v>3374</v>
      </c>
      <c r="V457" t="s">
        <v>28</v>
      </c>
      <c r="Y457" t="s">
        <v>30</v>
      </c>
      <c r="Z457" t="s">
        <v>30</v>
      </c>
      <c r="AA457" t="str">
        <f>IF(NOT("https://maps.app.goo.gl/tsHJUJgAwGRXb4Nx6" = ""), HYPERLINK("https://maps.app.goo.gl/tsHJUJgAwGRXb4Nx6", "موقع"), "")</f>
        <v>موقع</v>
      </c>
    </row>
    <row r="458" spans="1:27" x14ac:dyDescent="0.3">
      <c r="A458" t="s">
        <v>1576</v>
      </c>
      <c r="B458" s="8">
        <v>46282.623217592591</v>
      </c>
      <c r="C458" t="s">
        <v>2</v>
      </c>
      <c r="D458" t="s">
        <v>59</v>
      </c>
      <c r="E458" t="s">
        <v>1493</v>
      </c>
      <c r="F458" t="s">
        <v>3375</v>
      </c>
      <c r="G458" t="s">
        <v>21</v>
      </c>
      <c r="H458" t="s">
        <v>1100</v>
      </c>
      <c r="I458" t="s">
        <v>1424</v>
      </c>
      <c r="J458" t="s">
        <v>1425</v>
      </c>
      <c r="K458" t="s">
        <v>1492</v>
      </c>
      <c r="L458">
        <v>131</v>
      </c>
      <c r="M458">
        <v>870</v>
      </c>
      <c r="Q458" t="s">
        <v>1560</v>
      </c>
      <c r="R458" t="s">
        <v>3359</v>
      </c>
      <c r="S458" t="s">
        <v>2579</v>
      </c>
      <c r="V458" t="s">
        <v>55</v>
      </c>
      <c r="Y458" t="s">
        <v>30</v>
      </c>
      <c r="Z458" t="str">
        <f>IF(NOT("https://truemarkets3d.net/3d-virtual-tour/housingbank-realestate/phase3/aq-re-100969/index.html" = ""), HYPERLINK("https://truemarkets3d.net/3d-virtual-tour/housingbank-realestate/phase3/aq-re-100969/index.html", "جولة"), "")</f>
        <v>جولة</v>
      </c>
      <c r="AA458" t="s">
        <v>30</v>
      </c>
    </row>
    <row r="459" spans="1:27" x14ac:dyDescent="0.3">
      <c r="A459" t="s">
        <v>1577</v>
      </c>
      <c r="B459" s="8">
        <v>46282.623217592591</v>
      </c>
      <c r="C459" t="s">
        <v>2</v>
      </c>
      <c r="D459" t="s">
        <v>59</v>
      </c>
      <c r="E459" t="s">
        <v>225</v>
      </c>
      <c r="F459" t="s">
        <v>3376</v>
      </c>
      <c r="G459" t="s">
        <v>21</v>
      </c>
      <c r="H459" t="s">
        <v>1100</v>
      </c>
      <c r="I459" t="s">
        <v>1263</v>
      </c>
      <c r="J459" t="s">
        <v>1399</v>
      </c>
      <c r="K459" t="s">
        <v>1548</v>
      </c>
      <c r="L459">
        <v>131</v>
      </c>
      <c r="M459">
        <v>1000</v>
      </c>
      <c r="O459">
        <v>32.017721999999999</v>
      </c>
      <c r="P459">
        <v>35.863943999999996</v>
      </c>
      <c r="Q459" t="s">
        <v>1571</v>
      </c>
      <c r="R459" t="s">
        <v>3347</v>
      </c>
      <c r="S459" t="s">
        <v>2579</v>
      </c>
      <c r="U459" t="s">
        <v>3348</v>
      </c>
      <c r="V459" t="s">
        <v>55</v>
      </c>
      <c r="X459" t="s">
        <v>3377</v>
      </c>
      <c r="Y459" t="str">
        <f>IF(NOT("https://youtu.be/licaSbVuZw0" = ""), HYPERLINK("https://youtu.be/licaSbVuZw0", "فيديو"), "")</f>
        <v>فيديو</v>
      </c>
      <c r="Z459" t="str">
        <f>IF(NOT("https://truemarkets3d.net/3d-virtual-tour/housingbank-realestate/phase3/aq-re-100491/index.html" = ""), HYPERLINK("https://truemarkets3d.net/3d-virtual-tour/housingbank-realestate/phase3/aq-re-100491/index.html", "جولة"), "")</f>
        <v>جولة</v>
      </c>
      <c r="AA459" t="str">
        <f>IF(NOT("https://maps.app.goo.gl/2K8DhtmGr8pKxB687" = ""), HYPERLINK("https://maps.app.goo.gl/2K8DhtmGr8pKxB687", "موقع"), "")</f>
        <v>موقع</v>
      </c>
    </row>
    <row r="460" spans="1:27" x14ac:dyDescent="0.3">
      <c r="A460" t="s">
        <v>1578</v>
      </c>
      <c r="B460" s="8">
        <v>46282.623217592591</v>
      </c>
      <c r="C460" t="s">
        <v>2</v>
      </c>
      <c r="D460" t="s">
        <v>59</v>
      </c>
      <c r="E460" t="s">
        <v>1302</v>
      </c>
      <c r="F460" t="s">
        <v>3154</v>
      </c>
      <c r="G460" t="s">
        <v>21</v>
      </c>
      <c r="H460" t="s">
        <v>1100</v>
      </c>
      <c r="I460" t="s">
        <v>1101</v>
      </c>
      <c r="J460" t="s">
        <v>1102</v>
      </c>
      <c r="K460" t="s">
        <v>1579</v>
      </c>
      <c r="L460">
        <v>101</v>
      </c>
      <c r="M460">
        <v>977</v>
      </c>
      <c r="O460">
        <v>31.916972000000001</v>
      </c>
      <c r="P460">
        <v>35.925277999999999</v>
      </c>
      <c r="Q460" t="s">
        <v>136</v>
      </c>
      <c r="S460" t="s">
        <v>2525</v>
      </c>
      <c r="U460" t="s">
        <v>3378</v>
      </c>
      <c r="V460" t="s">
        <v>33</v>
      </c>
      <c r="Y460" t="s">
        <v>30</v>
      </c>
      <c r="Z460" t="s">
        <v>30</v>
      </c>
      <c r="AA460" t="str">
        <f>IF(NOT("https://maps.app.goo.gl/cJiuTFLiRY8Ea8zs9" = ""), HYPERLINK("https://maps.app.goo.gl/cJiuTFLiRY8Ea8zs9", "موقع"), "")</f>
        <v>موقع</v>
      </c>
    </row>
    <row r="461" spans="1:27" x14ac:dyDescent="0.3">
      <c r="A461" t="s">
        <v>1580</v>
      </c>
      <c r="B461" s="8">
        <v>46282.623217592591</v>
      </c>
      <c r="C461" t="s">
        <v>2</v>
      </c>
      <c r="D461" t="s">
        <v>59</v>
      </c>
      <c r="E461" t="s">
        <v>1582</v>
      </c>
      <c r="F461" t="s">
        <v>3379</v>
      </c>
      <c r="G461" t="s">
        <v>21</v>
      </c>
      <c r="H461" t="s">
        <v>1100</v>
      </c>
      <c r="I461" t="s">
        <v>1263</v>
      </c>
      <c r="J461" t="s">
        <v>1335</v>
      </c>
      <c r="K461" t="s">
        <v>1581</v>
      </c>
      <c r="L461">
        <v>131</v>
      </c>
      <c r="M461">
        <v>38</v>
      </c>
      <c r="O461">
        <v>32.012694000000003</v>
      </c>
      <c r="P461">
        <v>35.890306000000002</v>
      </c>
      <c r="Q461" t="s">
        <v>855</v>
      </c>
      <c r="R461" t="s">
        <v>3380</v>
      </c>
      <c r="S461" t="s">
        <v>2579</v>
      </c>
      <c r="U461" t="s">
        <v>3381</v>
      </c>
      <c r="V461" t="s">
        <v>55</v>
      </c>
      <c r="Y461" t="s">
        <v>30</v>
      </c>
      <c r="Z461" t="str">
        <f>IF(NOT("https://truemarkets3d.net/3d-virtual-tour/housingbank-realestate/phase3/aq-re-100253/index.html" = ""), HYPERLINK("https://truemarkets3d.net/3d-virtual-tour/housingbank-realestate/phase3/aq-re-100253/index.html", "جولة"), "")</f>
        <v>جولة</v>
      </c>
      <c r="AA461" t="str">
        <f>IF(NOT("https://maps.app.goo.gl/ekBjaFSESyNTNG628" = ""), HYPERLINK("https://maps.app.goo.gl/ekBjaFSESyNTNG628", "موقع"), "")</f>
        <v>موقع</v>
      </c>
    </row>
    <row r="462" spans="1:27" x14ac:dyDescent="0.3">
      <c r="A462" t="s">
        <v>1583</v>
      </c>
      <c r="B462" s="8">
        <v>46282.623217592591</v>
      </c>
      <c r="C462" t="s">
        <v>2</v>
      </c>
      <c r="D462" t="s">
        <v>59</v>
      </c>
      <c r="E462" t="s">
        <v>1586</v>
      </c>
      <c r="F462" t="s">
        <v>3382</v>
      </c>
      <c r="G462" t="s">
        <v>21</v>
      </c>
      <c r="H462" t="s">
        <v>1100</v>
      </c>
      <c r="I462" t="s">
        <v>1143</v>
      </c>
      <c r="J462" t="s">
        <v>1584</v>
      </c>
      <c r="K462" t="s">
        <v>1585</v>
      </c>
      <c r="L462">
        <v>0</v>
      </c>
      <c r="M462">
        <v>711</v>
      </c>
      <c r="Q462" t="s">
        <v>1587</v>
      </c>
      <c r="S462" t="s">
        <v>2525</v>
      </c>
      <c r="V462" t="s">
        <v>28</v>
      </c>
      <c r="Y462" t="s">
        <v>30</v>
      </c>
      <c r="Z462" t="s">
        <v>30</v>
      </c>
      <c r="AA462" t="s">
        <v>30</v>
      </c>
    </row>
    <row r="463" spans="1:27" x14ac:dyDescent="0.3">
      <c r="A463" t="s">
        <v>1588</v>
      </c>
      <c r="B463" s="8">
        <v>46282.623217592591</v>
      </c>
      <c r="C463" t="s">
        <v>2</v>
      </c>
      <c r="D463" t="s">
        <v>59</v>
      </c>
      <c r="E463" t="s">
        <v>1493</v>
      </c>
      <c r="F463" t="s">
        <v>3383</v>
      </c>
      <c r="G463" t="s">
        <v>21</v>
      </c>
      <c r="H463" t="s">
        <v>1100</v>
      </c>
      <c r="I463" t="s">
        <v>1424</v>
      </c>
      <c r="J463" t="s">
        <v>1425</v>
      </c>
      <c r="K463" t="s">
        <v>1492</v>
      </c>
      <c r="L463">
        <v>-111</v>
      </c>
      <c r="M463">
        <v>2056</v>
      </c>
      <c r="Q463" t="s">
        <v>1589</v>
      </c>
      <c r="S463" t="s">
        <v>2525</v>
      </c>
      <c r="V463" t="s">
        <v>33</v>
      </c>
      <c r="Y463" t="s">
        <v>30</v>
      </c>
      <c r="Z463" t="s">
        <v>30</v>
      </c>
      <c r="AA463" t="s">
        <v>30</v>
      </c>
    </row>
    <row r="464" spans="1:27" x14ac:dyDescent="0.3">
      <c r="A464" t="s">
        <v>1590</v>
      </c>
      <c r="B464" s="8">
        <v>46282.623217592591</v>
      </c>
      <c r="C464" t="s">
        <v>2</v>
      </c>
      <c r="D464" t="s">
        <v>59</v>
      </c>
      <c r="E464" t="s">
        <v>1293</v>
      </c>
      <c r="F464" t="s">
        <v>3384</v>
      </c>
      <c r="G464" t="s">
        <v>21</v>
      </c>
      <c r="H464" t="s">
        <v>1100</v>
      </c>
      <c r="I464" t="s">
        <v>1101</v>
      </c>
      <c r="J464" t="s">
        <v>1102</v>
      </c>
      <c r="K464" t="s">
        <v>1414</v>
      </c>
      <c r="L464">
        <v>132</v>
      </c>
      <c r="M464">
        <v>460</v>
      </c>
      <c r="Q464" t="s">
        <v>81</v>
      </c>
      <c r="S464" t="s">
        <v>2525</v>
      </c>
      <c r="V464" t="s">
        <v>55</v>
      </c>
      <c r="Y464" t="s">
        <v>30</v>
      </c>
      <c r="Z464" t="s">
        <v>30</v>
      </c>
      <c r="AA464" t="s">
        <v>30</v>
      </c>
    </row>
    <row r="465" spans="1:27" x14ac:dyDescent="0.3">
      <c r="A465" t="s">
        <v>1591</v>
      </c>
      <c r="B465" s="8">
        <v>46282.623217592591</v>
      </c>
      <c r="C465" t="s">
        <v>2</v>
      </c>
      <c r="D465" t="s">
        <v>59</v>
      </c>
      <c r="E465" t="s">
        <v>1302</v>
      </c>
      <c r="F465" t="s">
        <v>3370</v>
      </c>
      <c r="G465" t="s">
        <v>21</v>
      </c>
      <c r="H465" t="s">
        <v>1100</v>
      </c>
      <c r="I465" t="s">
        <v>1101</v>
      </c>
      <c r="J465" t="s">
        <v>1102</v>
      </c>
      <c r="K465" t="s">
        <v>1579</v>
      </c>
      <c r="L465">
        <v>121</v>
      </c>
      <c r="M465">
        <v>1534</v>
      </c>
      <c r="O465">
        <v>31.914667000000001</v>
      </c>
      <c r="P465">
        <v>35.932471999999997</v>
      </c>
      <c r="Q465" t="s">
        <v>1592</v>
      </c>
      <c r="R465" t="s">
        <v>3385</v>
      </c>
      <c r="S465" t="s">
        <v>2579</v>
      </c>
      <c r="U465" t="s">
        <v>3386</v>
      </c>
      <c r="V465" t="s">
        <v>73</v>
      </c>
      <c r="X465" t="s">
        <v>3387</v>
      </c>
      <c r="Y465" t="str">
        <f>IF(NOT("https://youtu.be/O7_3u6Lcw4E\" = ""), HYPERLINK("https://youtu.be/O7_3u6Lcw4E\", "فيديو"), "")</f>
        <v>فيديو</v>
      </c>
      <c r="Z465" t="str">
        <f>IF(NOT("https://truemarkets3d.net/3d-virtual-tour/housingbank-realestate/phase3/aq-re-100657/index.html" = ""), HYPERLINK("https://truemarkets3d.net/3d-virtual-tour/housingbank-realestate/phase3/aq-re-100657/index.html", "جولة"), "")</f>
        <v>جولة</v>
      </c>
      <c r="AA465" t="str">
        <f>IF(NOT("https://maps.app.goo.gl/xa5AWwmZHvWRFjrx8" = ""), HYPERLINK("https://maps.app.goo.gl/xa5AWwmZHvWRFjrx8", "موقع"), "")</f>
        <v>موقع</v>
      </c>
    </row>
    <row r="466" spans="1:27" x14ac:dyDescent="0.3">
      <c r="A466" t="s">
        <v>1593</v>
      </c>
      <c r="B466" s="8">
        <v>46282.623217592591</v>
      </c>
      <c r="C466" t="s">
        <v>2</v>
      </c>
      <c r="D466" t="s">
        <v>59</v>
      </c>
      <c r="E466" t="s">
        <v>154</v>
      </c>
      <c r="F466" t="s">
        <v>3388</v>
      </c>
      <c r="G466" t="s">
        <v>21</v>
      </c>
      <c r="H466" t="s">
        <v>1100</v>
      </c>
      <c r="I466" t="s">
        <v>1263</v>
      </c>
      <c r="J466" t="s">
        <v>1381</v>
      </c>
      <c r="K466" t="s">
        <v>1391</v>
      </c>
      <c r="L466">
        <v>-121</v>
      </c>
      <c r="M466">
        <v>1055</v>
      </c>
      <c r="O466">
        <v>31.977305999999999</v>
      </c>
      <c r="P466">
        <v>35.881610999999999</v>
      </c>
      <c r="Q466" t="s">
        <v>1594</v>
      </c>
      <c r="R466" t="s">
        <v>3389</v>
      </c>
      <c r="S466" t="s">
        <v>2579</v>
      </c>
      <c r="U466" t="s">
        <v>3390</v>
      </c>
      <c r="V466" t="s">
        <v>551</v>
      </c>
      <c r="Y466" t="s">
        <v>30</v>
      </c>
      <c r="Z466" t="str">
        <f>IF(NOT("https://www.true-markets.net/media/360tour/housing-bank/1055-121/index.html" = ""), HYPERLINK("https://www.true-markets.net/media/360tour/housing-bank/1055-121/index.html", "جولة"), "")</f>
        <v>جولة</v>
      </c>
      <c r="AA466" t="str">
        <f>IF(NOT("https://maps.app.goo.gl/aAE9NE5iS8KXTgmY9" = ""), HYPERLINK("https://maps.app.goo.gl/aAE9NE5iS8KXTgmY9", "موقع"), "")</f>
        <v>موقع</v>
      </c>
    </row>
    <row r="467" spans="1:27" x14ac:dyDescent="0.3">
      <c r="A467" t="s">
        <v>1595</v>
      </c>
      <c r="B467" s="8">
        <v>46282.623217592591</v>
      </c>
      <c r="C467" t="s">
        <v>2</v>
      </c>
      <c r="D467" t="s">
        <v>59</v>
      </c>
      <c r="E467" t="s">
        <v>1597</v>
      </c>
      <c r="F467" t="s">
        <v>3391</v>
      </c>
      <c r="G467" t="s">
        <v>21</v>
      </c>
      <c r="H467" t="s">
        <v>1100</v>
      </c>
      <c r="I467" t="s">
        <v>1263</v>
      </c>
      <c r="J467" t="s">
        <v>1399</v>
      </c>
      <c r="K467" t="s">
        <v>1596</v>
      </c>
      <c r="L467">
        <v>131</v>
      </c>
      <c r="M467">
        <v>158</v>
      </c>
      <c r="O467">
        <v>32.005889000000003</v>
      </c>
      <c r="P467">
        <v>35.835056000000002</v>
      </c>
      <c r="Q467" t="s">
        <v>258</v>
      </c>
      <c r="R467" t="s">
        <v>3392</v>
      </c>
      <c r="S467" t="s">
        <v>2579</v>
      </c>
      <c r="U467" t="s">
        <v>3393</v>
      </c>
      <c r="V467" t="s">
        <v>55</v>
      </c>
      <c r="Y467" t="s">
        <v>30</v>
      </c>
      <c r="Z467" t="str">
        <f>IF(NOT("https://truemarkets3d.net/3d-virtual-tour/housingbank-realestate/phase3/aq-re-100073/index.html" = ""), HYPERLINK("https://truemarkets3d.net/3d-virtual-tour/housingbank-realestate/phase3/aq-re-100073/index.html", "جولة"), "")</f>
        <v>جولة</v>
      </c>
      <c r="AA467" t="str">
        <f>IF(NOT("https://maps.app.goo.gl/9deU5avotXsVujhi6" = ""), HYPERLINK("https://maps.app.goo.gl/9deU5avotXsVujhi6", "موقع"), "")</f>
        <v>موقع</v>
      </c>
    </row>
    <row r="468" spans="1:27" x14ac:dyDescent="0.3">
      <c r="A468" t="s">
        <v>1598</v>
      </c>
      <c r="B468" s="8">
        <v>46282.623217592591</v>
      </c>
      <c r="C468" t="s">
        <v>2</v>
      </c>
      <c r="D468" t="s">
        <v>59</v>
      </c>
      <c r="E468" t="s">
        <v>225</v>
      </c>
      <c r="F468" t="s">
        <v>3394</v>
      </c>
      <c r="G468" t="s">
        <v>21</v>
      </c>
      <c r="H468" t="s">
        <v>1100</v>
      </c>
      <c r="I468" t="s">
        <v>1263</v>
      </c>
      <c r="J468" t="s">
        <v>1399</v>
      </c>
      <c r="K468" t="s">
        <v>1548</v>
      </c>
      <c r="L468">
        <v>103</v>
      </c>
      <c r="M468">
        <v>1000</v>
      </c>
      <c r="O468">
        <v>32.017721999999999</v>
      </c>
      <c r="P468">
        <v>35.863943999999996</v>
      </c>
      <c r="Q468" t="s">
        <v>1237</v>
      </c>
      <c r="R468" t="s">
        <v>3347</v>
      </c>
      <c r="S468" t="s">
        <v>2579</v>
      </c>
      <c r="U468" t="s">
        <v>3348</v>
      </c>
      <c r="V468" t="s">
        <v>28</v>
      </c>
      <c r="Y468" t="s">
        <v>30</v>
      </c>
      <c r="Z468" t="str">
        <f>IF(NOT("https://truemarkets3d.net/3d-virtual-tour/housingbank-realestate/phase3/aq-re-100491/index.html" = ""), HYPERLINK("https://truemarkets3d.net/3d-virtual-tour/housingbank-realestate/phase3/aq-re-100491/index.html", "جولة"), "")</f>
        <v>جولة</v>
      </c>
      <c r="AA468" t="str">
        <f>IF(NOT("https://maps.app.goo.gl/2K8DhtmGr8pKxB687" = ""), HYPERLINK("https://maps.app.goo.gl/2K8DhtmGr8pKxB687", "موقع"), "")</f>
        <v>موقع</v>
      </c>
    </row>
    <row r="469" spans="1:27" x14ac:dyDescent="0.3">
      <c r="A469" t="s">
        <v>1599</v>
      </c>
      <c r="B469" s="8">
        <v>46282.623217592591</v>
      </c>
      <c r="C469" t="s">
        <v>2</v>
      </c>
      <c r="D469" t="s">
        <v>59</v>
      </c>
      <c r="E469" t="s">
        <v>1383</v>
      </c>
      <c r="F469" t="s">
        <v>3235</v>
      </c>
      <c r="G469" t="s">
        <v>21</v>
      </c>
      <c r="H469" t="s">
        <v>1100</v>
      </c>
      <c r="I469" t="s">
        <v>1263</v>
      </c>
      <c r="J469" t="s">
        <v>1381</v>
      </c>
      <c r="K469" t="s">
        <v>1600</v>
      </c>
      <c r="L469">
        <v>122</v>
      </c>
      <c r="M469">
        <v>1095</v>
      </c>
      <c r="O469">
        <v>32.001333000000002</v>
      </c>
      <c r="P469">
        <v>35.856110999999999</v>
      </c>
      <c r="Q469" t="s">
        <v>1601</v>
      </c>
      <c r="R469" t="s">
        <v>3395</v>
      </c>
      <c r="S469" t="s">
        <v>2579</v>
      </c>
      <c r="T469" t="s">
        <v>3396</v>
      </c>
      <c r="U469" t="s">
        <v>3397</v>
      </c>
      <c r="V469" t="s">
        <v>73</v>
      </c>
      <c r="Y469" t="s">
        <v>30</v>
      </c>
      <c r="Z469" t="str">
        <f>IF(NOT("https://truemarkets3d.net/3d-virtual-tour/housingbank-realestate/phase3/aq-re-100451/index.html" = ""), HYPERLINK("https://truemarkets3d.net/3d-virtual-tour/housingbank-realestate/phase3/aq-re-100451/index.html", "جولة"), "")</f>
        <v>جولة</v>
      </c>
      <c r="AA469" t="str">
        <f>IF(NOT("https://maps.app.goo.gl/itaHHkTuENKfXeX6A" = ""), HYPERLINK("https://maps.app.goo.gl/itaHHkTuENKfXeX6A", "موقع"), "")</f>
        <v>موقع</v>
      </c>
    </row>
    <row r="470" spans="1:27" x14ac:dyDescent="0.3">
      <c r="A470" t="s">
        <v>1602</v>
      </c>
      <c r="B470" s="8">
        <v>46282.623217592591</v>
      </c>
      <c r="C470" t="s">
        <v>2</v>
      </c>
      <c r="D470" t="s">
        <v>59</v>
      </c>
      <c r="E470" t="s">
        <v>1489</v>
      </c>
      <c r="F470" t="s">
        <v>3204</v>
      </c>
      <c r="G470" t="s">
        <v>21</v>
      </c>
      <c r="H470" t="s">
        <v>1100</v>
      </c>
      <c r="I470" t="s">
        <v>1472</v>
      </c>
      <c r="J470" t="s">
        <v>1473</v>
      </c>
      <c r="K470" t="s">
        <v>1603</v>
      </c>
      <c r="L470">
        <v>133</v>
      </c>
      <c r="M470">
        <v>408</v>
      </c>
      <c r="Q470" t="s">
        <v>208</v>
      </c>
      <c r="S470" t="s">
        <v>2525</v>
      </c>
      <c r="V470" t="s">
        <v>55</v>
      </c>
      <c r="Y470" t="s">
        <v>30</v>
      </c>
      <c r="Z470" t="s">
        <v>30</v>
      </c>
      <c r="AA470" t="s">
        <v>30</v>
      </c>
    </row>
    <row r="471" spans="1:27" x14ac:dyDescent="0.3">
      <c r="A471" t="s">
        <v>1604</v>
      </c>
      <c r="B471" s="8">
        <v>46282.623217592591</v>
      </c>
      <c r="C471" t="s">
        <v>2</v>
      </c>
      <c r="D471" t="s">
        <v>59</v>
      </c>
      <c r="E471" t="s">
        <v>1607</v>
      </c>
      <c r="F471" t="s">
        <v>3398</v>
      </c>
      <c r="G471" t="s">
        <v>21</v>
      </c>
      <c r="H471" t="s">
        <v>1100</v>
      </c>
      <c r="I471" t="s">
        <v>1143</v>
      </c>
      <c r="J471" t="s">
        <v>1605</v>
      </c>
      <c r="K471" t="s">
        <v>1606</v>
      </c>
      <c r="L471">
        <v>121</v>
      </c>
      <c r="M471">
        <v>1207</v>
      </c>
      <c r="O471">
        <v>31.896667000000001</v>
      </c>
      <c r="P471">
        <v>35.916916999999998</v>
      </c>
      <c r="Q471" t="s">
        <v>121</v>
      </c>
      <c r="S471" t="s">
        <v>2525</v>
      </c>
      <c r="U471" t="s">
        <v>3399</v>
      </c>
      <c r="V471" t="s">
        <v>73</v>
      </c>
      <c r="Y471" t="s">
        <v>30</v>
      </c>
      <c r="Z471" t="s">
        <v>30</v>
      </c>
      <c r="AA471" t="str">
        <f>IF(NOT("https://maps.app.goo.gl/LXkr5AAmbMwwUBYy9" = ""), HYPERLINK("https://maps.app.goo.gl/LXkr5AAmbMwwUBYy9", "موقع"), "")</f>
        <v>موقع</v>
      </c>
    </row>
    <row r="472" spans="1:27" x14ac:dyDescent="0.3">
      <c r="A472" t="s">
        <v>1608</v>
      </c>
      <c r="B472" s="8">
        <v>46282.623217592591</v>
      </c>
      <c r="C472" t="s">
        <v>2</v>
      </c>
      <c r="D472" t="s">
        <v>59</v>
      </c>
      <c r="E472" t="s">
        <v>1489</v>
      </c>
      <c r="F472" t="s">
        <v>3400</v>
      </c>
      <c r="G472" t="s">
        <v>21</v>
      </c>
      <c r="H472" t="s">
        <v>1100</v>
      </c>
      <c r="I472" t="s">
        <v>1472</v>
      </c>
      <c r="J472" t="s">
        <v>1473</v>
      </c>
      <c r="K472" t="s">
        <v>1609</v>
      </c>
      <c r="L472">
        <v>103</v>
      </c>
      <c r="M472">
        <v>434</v>
      </c>
      <c r="Q472" t="s">
        <v>67</v>
      </c>
      <c r="S472" t="s">
        <v>2525</v>
      </c>
      <c r="V472" t="s">
        <v>28</v>
      </c>
      <c r="Y472" t="s">
        <v>30</v>
      </c>
      <c r="Z472" t="s">
        <v>30</v>
      </c>
      <c r="AA472" t="s">
        <v>30</v>
      </c>
    </row>
    <row r="473" spans="1:27" x14ac:dyDescent="0.3">
      <c r="A473" t="s">
        <v>1610</v>
      </c>
      <c r="B473" s="8">
        <v>46282.623217592591</v>
      </c>
      <c r="C473" t="s">
        <v>2</v>
      </c>
      <c r="D473" t="s">
        <v>59</v>
      </c>
      <c r="E473" t="s">
        <v>1209</v>
      </c>
      <c r="F473" t="s">
        <v>3287</v>
      </c>
      <c r="G473" t="s">
        <v>21</v>
      </c>
      <c r="H473" t="s">
        <v>1100</v>
      </c>
      <c r="I473" t="s">
        <v>1143</v>
      </c>
      <c r="J473" t="s">
        <v>1153</v>
      </c>
      <c r="K473" t="s">
        <v>1154</v>
      </c>
      <c r="L473">
        <v>101</v>
      </c>
      <c r="M473">
        <v>1532</v>
      </c>
      <c r="Q473" t="s">
        <v>1611</v>
      </c>
      <c r="S473" t="s">
        <v>2525</v>
      </c>
      <c r="V473" t="s">
        <v>28</v>
      </c>
      <c r="Y473" t="s">
        <v>30</v>
      </c>
      <c r="Z473" t="s">
        <v>30</v>
      </c>
      <c r="AA473" t="s">
        <v>30</v>
      </c>
    </row>
    <row r="474" spans="1:27" x14ac:dyDescent="0.3">
      <c r="A474" t="s">
        <v>1612</v>
      </c>
      <c r="B474" s="8">
        <v>46282.623217592591</v>
      </c>
      <c r="C474" t="s">
        <v>2</v>
      </c>
      <c r="D474" t="s">
        <v>59</v>
      </c>
      <c r="E474" t="s">
        <v>1493</v>
      </c>
      <c r="F474" t="s">
        <v>3401</v>
      </c>
      <c r="G474" t="s">
        <v>21</v>
      </c>
      <c r="H474" t="s">
        <v>1100</v>
      </c>
      <c r="I474" t="s">
        <v>1424</v>
      </c>
      <c r="J474" t="s">
        <v>1425</v>
      </c>
      <c r="K474" t="s">
        <v>1492</v>
      </c>
      <c r="L474">
        <v>121</v>
      </c>
      <c r="M474">
        <v>870</v>
      </c>
      <c r="Q474" t="s">
        <v>1560</v>
      </c>
      <c r="R474" t="s">
        <v>3359</v>
      </c>
      <c r="S474" t="s">
        <v>2579</v>
      </c>
      <c r="V474" t="s">
        <v>73</v>
      </c>
      <c r="Y474" t="s">
        <v>30</v>
      </c>
      <c r="Z474" t="str">
        <f>IF(NOT("https://truemarkets3d.net/3d-virtual-tour/housingbank-realestate/phase3/aq-re-100969/index.html" = ""), HYPERLINK("https://truemarkets3d.net/3d-virtual-tour/housingbank-realestate/phase3/aq-re-100969/index.html", "جولة"), "")</f>
        <v>جولة</v>
      </c>
      <c r="AA474" t="s">
        <v>30</v>
      </c>
    </row>
    <row r="475" spans="1:27" x14ac:dyDescent="0.3">
      <c r="A475" t="s">
        <v>1613</v>
      </c>
      <c r="B475" s="8">
        <v>46282.623217592591</v>
      </c>
      <c r="C475" t="s">
        <v>2</v>
      </c>
      <c r="D475" t="s">
        <v>59</v>
      </c>
      <c r="E475" t="s">
        <v>1383</v>
      </c>
      <c r="F475" t="s">
        <v>3402</v>
      </c>
      <c r="G475" t="s">
        <v>21</v>
      </c>
      <c r="H475" t="s">
        <v>1100</v>
      </c>
      <c r="I475" t="s">
        <v>1263</v>
      </c>
      <c r="J475" t="s">
        <v>1381</v>
      </c>
      <c r="K475" t="s">
        <v>1382</v>
      </c>
      <c r="L475">
        <v>114</v>
      </c>
      <c r="M475">
        <v>1491</v>
      </c>
      <c r="O475">
        <v>32.272193999999999</v>
      </c>
      <c r="P475">
        <v>36.084944</v>
      </c>
      <c r="Q475" t="s">
        <v>845</v>
      </c>
      <c r="S475" t="s">
        <v>2525</v>
      </c>
      <c r="U475" t="s">
        <v>3403</v>
      </c>
      <c r="V475" t="s">
        <v>43</v>
      </c>
      <c r="Y475" t="s">
        <v>30</v>
      </c>
      <c r="Z475" t="s">
        <v>30</v>
      </c>
      <c r="AA475" t="str">
        <f>IF(NOT("https://maps.app.goo.gl/rhyxpPMGNETmyxnN6" = ""), HYPERLINK("https://maps.app.goo.gl/rhyxpPMGNETmyxnN6", "موقع"), "")</f>
        <v>موقع</v>
      </c>
    </row>
    <row r="476" spans="1:27" x14ac:dyDescent="0.3">
      <c r="A476" t="s">
        <v>1614</v>
      </c>
      <c r="B476" s="8">
        <v>46282.623217592591</v>
      </c>
      <c r="C476" t="s">
        <v>2</v>
      </c>
      <c r="D476" t="s">
        <v>59</v>
      </c>
      <c r="E476" t="s">
        <v>1311</v>
      </c>
      <c r="F476" t="s">
        <v>3404</v>
      </c>
      <c r="G476" t="s">
        <v>21</v>
      </c>
      <c r="H476" t="s">
        <v>1100</v>
      </c>
      <c r="I476" t="s">
        <v>1263</v>
      </c>
      <c r="J476" t="s">
        <v>1309</v>
      </c>
      <c r="K476" t="s">
        <v>1310</v>
      </c>
      <c r="L476">
        <v>102</v>
      </c>
      <c r="M476">
        <v>63</v>
      </c>
      <c r="O476">
        <v>32.060194000000003</v>
      </c>
      <c r="P476">
        <v>35.889000000000003</v>
      </c>
      <c r="Q476" t="s">
        <v>1312</v>
      </c>
      <c r="S476" t="s">
        <v>2525</v>
      </c>
      <c r="U476" t="s">
        <v>3206</v>
      </c>
      <c r="V476" t="s">
        <v>28</v>
      </c>
      <c r="Y476" t="s">
        <v>30</v>
      </c>
      <c r="Z476" t="s">
        <v>30</v>
      </c>
      <c r="AA476" t="str">
        <f>IF(NOT("https://maps.app.goo.gl/boHCvhcK4sWuF6V77" = ""), HYPERLINK("https://maps.app.goo.gl/boHCvhcK4sWuF6V77", "موقع"), "")</f>
        <v>موقع</v>
      </c>
    </row>
    <row r="477" spans="1:27" x14ac:dyDescent="0.3">
      <c r="A477" t="s">
        <v>1615</v>
      </c>
      <c r="B477" s="8">
        <v>46282.623217592591</v>
      </c>
      <c r="C477" t="s">
        <v>2</v>
      </c>
      <c r="D477" t="s">
        <v>59</v>
      </c>
      <c r="E477" t="s">
        <v>1331</v>
      </c>
      <c r="F477" t="s">
        <v>3405</v>
      </c>
      <c r="G477" t="s">
        <v>21</v>
      </c>
      <c r="H477" t="s">
        <v>1100</v>
      </c>
      <c r="I477" t="s">
        <v>1263</v>
      </c>
      <c r="J477" t="s">
        <v>1329</v>
      </c>
      <c r="K477" t="s">
        <v>1616</v>
      </c>
      <c r="L477">
        <v>-121</v>
      </c>
      <c r="M477">
        <v>731</v>
      </c>
      <c r="O477">
        <v>32.020417000000002</v>
      </c>
      <c r="P477">
        <v>35.888944000000002</v>
      </c>
      <c r="Q477" t="s">
        <v>219</v>
      </c>
      <c r="R477" t="s">
        <v>3406</v>
      </c>
      <c r="S477" t="s">
        <v>2579</v>
      </c>
      <c r="U477" t="s">
        <v>3407</v>
      </c>
      <c r="V477" t="s">
        <v>33</v>
      </c>
      <c r="Y477" t="s">
        <v>30</v>
      </c>
      <c r="Z477" t="str">
        <f>IF(NOT("https://truemarkets3d.net/3d-virtual-tour/housingbank-realestate/phase3/aq-re-100128/index.html" = ""), HYPERLINK("https://truemarkets3d.net/3d-virtual-tour/housingbank-realestate/phase3/aq-re-100128/index.html", "جولة"), "")</f>
        <v>جولة</v>
      </c>
      <c r="AA477" t="str">
        <f>IF(NOT("https://maps.app.goo.gl/XmBJyxA1gFYLMw7J6" = ""), HYPERLINK("https://maps.app.goo.gl/XmBJyxA1gFYLMw7J6", "موقع"), "")</f>
        <v>موقع</v>
      </c>
    </row>
    <row r="478" spans="1:27" x14ac:dyDescent="0.3">
      <c r="A478" t="s">
        <v>1617</v>
      </c>
      <c r="B478" s="8">
        <v>46282.623217592591</v>
      </c>
      <c r="C478" t="s">
        <v>2</v>
      </c>
      <c r="D478" t="s">
        <v>59</v>
      </c>
      <c r="E478" t="s">
        <v>1489</v>
      </c>
      <c r="F478" t="s">
        <v>3408</v>
      </c>
      <c r="G478" t="s">
        <v>21</v>
      </c>
      <c r="H478" t="s">
        <v>1100</v>
      </c>
      <c r="I478" t="s">
        <v>1472</v>
      </c>
      <c r="J478" t="s">
        <v>1507</v>
      </c>
      <c r="K478" t="s">
        <v>1618</v>
      </c>
      <c r="L478">
        <v>132</v>
      </c>
      <c r="M478">
        <v>167</v>
      </c>
      <c r="O478">
        <v>31.893944000000001</v>
      </c>
      <c r="P478">
        <v>35.865611000000001</v>
      </c>
      <c r="Q478" t="s">
        <v>1619</v>
      </c>
      <c r="R478" t="s">
        <v>3409</v>
      </c>
      <c r="S478" t="s">
        <v>2579</v>
      </c>
      <c r="U478" t="s">
        <v>3410</v>
      </c>
      <c r="V478" t="s">
        <v>55</v>
      </c>
      <c r="Y478" t="s">
        <v>30</v>
      </c>
      <c r="Z478" t="str">
        <f>IF(NOT("https://truemarkets3d.net/3d-virtual-tour/housingbank-realestate/phase3/aq-re-100024/index.html" = ""), HYPERLINK("https://truemarkets3d.net/3d-virtual-tour/housingbank-realestate/phase3/aq-re-100024/index.html", "جولة"), "")</f>
        <v>جولة</v>
      </c>
      <c r="AA478" t="str">
        <f>IF(NOT("https://maps.app.goo.gl/3fhUsakgNzVEaUEo6" = ""), HYPERLINK("https://maps.app.goo.gl/3fhUsakgNzVEaUEo6", "موقع"), "")</f>
        <v>موقع</v>
      </c>
    </row>
    <row r="479" spans="1:27" x14ac:dyDescent="0.3">
      <c r="A479" t="s">
        <v>1620</v>
      </c>
      <c r="B479" s="8">
        <v>46282.623217592591</v>
      </c>
      <c r="C479" t="s">
        <v>2</v>
      </c>
      <c r="D479" t="s">
        <v>59</v>
      </c>
      <c r="E479" t="s">
        <v>1622</v>
      </c>
      <c r="F479" t="s">
        <v>3411</v>
      </c>
      <c r="G479" t="s">
        <v>21</v>
      </c>
      <c r="H479" t="s">
        <v>1100</v>
      </c>
      <c r="I479" t="s">
        <v>1263</v>
      </c>
      <c r="J479" t="s">
        <v>1399</v>
      </c>
      <c r="K479" t="s">
        <v>1621</v>
      </c>
      <c r="L479">
        <v>131</v>
      </c>
      <c r="M479">
        <v>493</v>
      </c>
      <c r="O479">
        <v>32.030527999999997</v>
      </c>
      <c r="P479">
        <v>35.825639000000002</v>
      </c>
      <c r="Q479" t="s">
        <v>1623</v>
      </c>
      <c r="R479" t="s">
        <v>3412</v>
      </c>
      <c r="S479" t="s">
        <v>2579</v>
      </c>
      <c r="U479" t="s">
        <v>3413</v>
      </c>
      <c r="V479" t="s">
        <v>55</v>
      </c>
      <c r="Y479" t="s">
        <v>30</v>
      </c>
      <c r="Z479" t="str">
        <f>IF(NOT("https://truemarkets3d.net/3d-virtual-tour/housingbank-realestate/phase3/aq-re-100050/index.html" = ""), HYPERLINK("https://truemarkets3d.net/3d-virtual-tour/housingbank-realestate/phase3/aq-re-100050/index.html", "جولة"), "")</f>
        <v>جولة</v>
      </c>
      <c r="AA479" t="str">
        <f>IF(NOT("https://maps.app.goo.gl/cVZmQPvjnP3jKB2W9" = ""), HYPERLINK("https://maps.app.goo.gl/cVZmQPvjnP3jKB2W9", "موقع"), "")</f>
        <v>موقع</v>
      </c>
    </row>
    <row r="480" spans="1:27" x14ac:dyDescent="0.3">
      <c r="A480" t="s">
        <v>1624</v>
      </c>
      <c r="B480" s="8">
        <v>46282.623217592591</v>
      </c>
      <c r="C480" t="s">
        <v>2</v>
      </c>
      <c r="D480" t="s">
        <v>59</v>
      </c>
      <c r="E480" t="s">
        <v>1625</v>
      </c>
      <c r="F480" t="s">
        <v>3414</v>
      </c>
      <c r="G480" t="s">
        <v>21</v>
      </c>
      <c r="H480" t="s">
        <v>1100</v>
      </c>
      <c r="I480" t="s">
        <v>1263</v>
      </c>
      <c r="J480" t="s">
        <v>1381</v>
      </c>
      <c r="K480" t="s">
        <v>1391</v>
      </c>
      <c r="L480">
        <v>-101</v>
      </c>
      <c r="M480">
        <v>1628</v>
      </c>
      <c r="O480">
        <v>31.967167</v>
      </c>
      <c r="P480">
        <v>35.884833</v>
      </c>
      <c r="Q480" t="s">
        <v>1626</v>
      </c>
      <c r="R480" t="s">
        <v>3415</v>
      </c>
      <c r="S480" t="s">
        <v>2579</v>
      </c>
      <c r="U480" t="s">
        <v>3416</v>
      </c>
      <c r="V480" t="s">
        <v>28</v>
      </c>
      <c r="Y480" t="s">
        <v>30</v>
      </c>
      <c r="Z480" t="str">
        <f>IF(NOT("https://truemarkets3d.net/3d-virtual-tour/housingbank-realestate/phase3/aq-re-100116/index.html" = ""), HYPERLINK("https://truemarkets3d.net/3d-virtual-tour/housingbank-realestate/phase3/aq-re-100116/index.html", "جولة"), "")</f>
        <v>جولة</v>
      </c>
      <c r="AA480" t="str">
        <f>IF(NOT("https://maps.app.goo.gl/bK11oifv6ew8sEPGA" = ""), HYPERLINK("https://maps.app.goo.gl/bK11oifv6ew8sEPGA", "موقع"), "")</f>
        <v>موقع</v>
      </c>
    </row>
    <row r="481" spans="1:27" x14ac:dyDescent="0.3">
      <c r="A481" t="s">
        <v>1627</v>
      </c>
      <c r="B481" s="8">
        <v>46282.623217592591</v>
      </c>
      <c r="C481" t="s">
        <v>2</v>
      </c>
      <c r="D481" t="s">
        <v>59</v>
      </c>
      <c r="E481" t="s">
        <v>1543</v>
      </c>
      <c r="F481" t="s">
        <v>3417</v>
      </c>
      <c r="G481" t="s">
        <v>21</v>
      </c>
      <c r="H481" t="s">
        <v>1100</v>
      </c>
      <c r="I481" t="s">
        <v>1424</v>
      </c>
      <c r="J481" t="s">
        <v>1425</v>
      </c>
      <c r="K481" t="s">
        <v>1628</v>
      </c>
      <c r="L481">
        <v>122</v>
      </c>
      <c r="M481">
        <v>1556</v>
      </c>
      <c r="O481">
        <v>31.973777999999999</v>
      </c>
      <c r="P481">
        <v>35.845027999999999</v>
      </c>
      <c r="Q481" t="s">
        <v>1494</v>
      </c>
      <c r="R481" t="s">
        <v>3418</v>
      </c>
      <c r="S481" t="s">
        <v>2579</v>
      </c>
      <c r="T481" t="s">
        <v>3419</v>
      </c>
      <c r="U481" t="s">
        <v>3420</v>
      </c>
      <c r="V481" t="s">
        <v>73</v>
      </c>
      <c r="Y481" t="s">
        <v>30</v>
      </c>
      <c r="Z481" t="str">
        <f>IF(NOT("https://truemarkets3d.net/3d-virtual-tour/housingbank-realestate/phase3/aq-re-100273/index.html" = ""), HYPERLINK("https://truemarkets3d.net/3d-virtual-tour/housingbank-realestate/phase3/aq-re-100273/index.html", "جولة"), "")</f>
        <v>جولة</v>
      </c>
      <c r="AA481" t="str">
        <f>IF(NOT("https://maps.app.goo.gl/HDoG4szvaDX6Todh9" = ""), HYPERLINK("https://maps.app.goo.gl/HDoG4szvaDX6Todh9", "موقع"), "")</f>
        <v>موقع</v>
      </c>
    </row>
    <row r="482" spans="1:27" x14ac:dyDescent="0.3">
      <c r="A482" t="s">
        <v>1629</v>
      </c>
      <c r="B482" s="8">
        <v>46282.623217592591</v>
      </c>
      <c r="C482" t="s">
        <v>2</v>
      </c>
      <c r="D482" t="s">
        <v>59</v>
      </c>
      <c r="E482" t="s">
        <v>1543</v>
      </c>
      <c r="F482" t="s">
        <v>3421</v>
      </c>
      <c r="G482" t="s">
        <v>21</v>
      </c>
      <c r="H482" t="s">
        <v>1100</v>
      </c>
      <c r="I482" t="s">
        <v>1424</v>
      </c>
      <c r="J482" t="s">
        <v>1425</v>
      </c>
      <c r="K482" t="s">
        <v>1628</v>
      </c>
      <c r="L482">
        <v>132</v>
      </c>
      <c r="M482">
        <v>1556</v>
      </c>
      <c r="Q482" t="s">
        <v>1494</v>
      </c>
      <c r="R482" t="s">
        <v>3422</v>
      </c>
      <c r="S482" t="s">
        <v>2579</v>
      </c>
      <c r="T482" t="s">
        <v>3423</v>
      </c>
      <c r="V482" t="s">
        <v>55</v>
      </c>
      <c r="Y482" t="s">
        <v>30</v>
      </c>
      <c r="Z482" t="str">
        <f>IF(NOT("https://truemarkets3d.net/3d-virtual-tour/housingbank-realestate/phase3/aq-re-100270/index.html" = ""), HYPERLINK("https://truemarkets3d.net/3d-virtual-tour/housingbank-realestate/phase3/aq-re-100270/index.html", "جولة"), "")</f>
        <v>جولة</v>
      </c>
      <c r="AA482" t="s">
        <v>30</v>
      </c>
    </row>
    <row r="483" spans="1:27" x14ac:dyDescent="0.3">
      <c r="A483" t="s">
        <v>1630</v>
      </c>
      <c r="B483" s="8">
        <v>46282.623217592591</v>
      </c>
      <c r="C483" t="s">
        <v>2</v>
      </c>
      <c r="D483" t="s">
        <v>59</v>
      </c>
      <c r="E483" t="s">
        <v>1489</v>
      </c>
      <c r="F483" t="s">
        <v>3424</v>
      </c>
      <c r="G483" t="s">
        <v>21</v>
      </c>
      <c r="H483" t="s">
        <v>1100</v>
      </c>
      <c r="I483" t="s">
        <v>1472</v>
      </c>
      <c r="J483" t="s">
        <v>1473</v>
      </c>
      <c r="K483" t="s">
        <v>1631</v>
      </c>
      <c r="L483">
        <v>101</v>
      </c>
      <c r="M483">
        <v>464</v>
      </c>
      <c r="O483">
        <v>31.900971999999999</v>
      </c>
      <c r="P483">
        <v>35.845278</v>
      </c>
      <c r="Q483" t="s">
        <v>255</v>
      </c>
      <c r="R483" t="s">
        <v>3425</v>
      </c>
      <c r="S483" t="s">
        <v>2579</v>
      </c>
      <c r="U483" t="s">
        <v>3426</v>
      </c>
      <c r="V483" t="s">
        <v>28</v>
      </c>
      <c r="Y483" t="s">
        <v>30</v>
      </c>
      <c r="Z483" t="str">
        <f>IF(NOT("https://truemarkets3d.net/3d-virtual-tour/housingbank-realestate/phase3/aq-re-100173/index.html" = ""), HYPERLINK("https://truemarkets3d.net/3d-virtual-tour/housingbank-realestate/phase3/aq-re-100173/index.html", "جولة"), "")</f>
        <v>جولة</v>
      </c>
      <c r="AA483" t="str">
        <f>IF(NOT("https://maps.app.goo.gl/Xsu5aq4mxzh37M4C6" = ""), HYPERLINK("https://maps.app.goo.gl/Xsu5aq4mxzh37M4C6", "موقع"), "")</f>
        <v>موقع</v>
      </c>
    </row>
    <row r="484" spans="1:27" x14ac:dyDescent="0.3">
      <c r="A484" t="s">
        <v>1632</v>
      </c>
      <c r="B484" s="8">
        <v>46282.623217592591</v>
      </c>
      <c r="C484" t="s">
        <v>2</v>
      </c>
      <c r="D484" t="s">
        <v>59</v>
      </c>
      <c r="E484" t="s">
        <v>1634</v>
      </c>
      <c r="F484" t="s">
        <v>3427</v>
      </c>
      <c r="G484" t="s">
        <v>21</v>
      </c>
      <c r="H484" t="s">
        <v>1100</v>
      </c>
      <c r="I484" t="s">
        <v>1101</v>
      </c>
      <c r="J484" t="s">
        <v>1102</v>
      </c>
      <c r="K484" t="s">
        <v>1633</v>
      </c>
      <c r="L484">
        <v>131</v>
      </c>
      <c r="M484">
        <v>2714</v>
      </c>
      <c r="O484">
        <v>31.977333000000002</v>
      </c>
      <c r="P484">
        <v>35.898249999999997</v>
      </c>
      <c r="Q484" t="s">
        <v>1635</v>
      </c>
      <c r="R484" t="s">
        <v>3428</v>
      </c>
      <c r="S484" t="s">
        <v>2579</v>
      </c>
      <c r="U484" t="s">
        <v>3429</v>
      </c>
      <c r="V484" t="s">
        <v>55</v>
      </c>
      <c r="Y484" t="s">
        <v>30</v>
      </c>
      <c r="Z484" t="str">
        <f>IF(NOT("https://truemarkets3d.net/3d-virtual-tour/housingbank-realestate/phase3/aq-re-100455/index.html" = ""), HYPERLINK("https://truemarkets3d.net/3d-virtual-tour/housingbank-realestate/phase3/aq-re-100455/index.html", "جولة"), "")</f>
        <v>جولة</v>
      </c>
      <c r="AA484" t="str">
        <f>IF(NOT("https://maps.app.goo.gl/FTt69v9v3NzKRVap8" = ""), HYPERLINK("https://maps.app.goo.gl/FTt69v9v3NzKRVap8", "موقع"), "")</f>
        <v>موقع</v>
      </c>
    </row>
    <row r="485" spans="1:27" x14ac:dyDescent="0.3">
      <c r="A485" t="s">
        <v>1636</v>
      </c>
      <c r="B485" s="8">
        <v>46282.623217592591</v>
      </c>
      <c r="C485" t="s">
        <v>2</v>
      </c>
      <c r="D485" t="s">
        <v>59</v>
      </c>
      <c r="E485" t="s">
        <v>1637</v>
      </c>
      <c r="F485" t="s">
        <v>3430</v>
      </c>
      <c r="G485" t="s">
        <v>21</v>
      </c>
      <c r="H485" t="s">
        <v>1100</v>
      </c>
      <c r="I485" t="s">
        <v>1263</v>
      </c>
      <c r="J485" t="s">
        <v>1399</v>
      </c>
      <c r="K485" t="s">
        <v>1400</v>
      </c>
      <c r="L485">
        <v>201</v>
      </c>
      <c r="M485">
        <v>538</v>
      </c>
      <c r="O485">
        <v>32.028083000000002</v>
      </c>
      <c r="P485">
        <v>35.845750000000002</v>
      </c>
      <c r="Q485" t="s">
        <v>294</v>
      </c>
      <c r="S485" t="s">
        <v>2525</v>
      </c>
      <c r="U485" t="s">
        <v>3431</v>
      </c>
      <c r="V485" t="s">
        <v>28</v>
      </c>
      <c r="Y485" t="s">
        <v>30</v>
      </c>
      <c r="Z485" t="s">
        <v>30</v>
      </c>
      <c r="AA485" t="str">
        <f>IF(NOT("https://maps.app.goo.gl/oPw4qQjemYLix7yr7" = ""), HYPERLINK("https://maps.app.goo.gl/oPw4qQjemYLix7yr7", "موقع"), "")</f>
        <v>موقع</v>
      </c>
    </row>
    <row r="486" spans="1:27" x14ac:dyDescent="0.3">
      <c r="A486" t="s">
        <v>1638</v>
      </c>
      <c r="B486" s="8">
        <v>46282.623217592591</v>
      </c>
      <c r="C486" t="s">
        <v>2</v>
      </c>
      <c r="D486" t="s">
        <v>59</v>
      </c>
      <c r="E486" t="s">
        <v>1165</v>
      </c>
      <c r="F486" t="s">
        <v>3314</v>
      </c>
      <c r="G486" t="s">
        <v>21</v>
      </c>
      <c r="H486" t="s">
        <v>1100</v>
      </c>
      <c r="I486" t="s">
        <v>1162</v>
      </c>
      <c r="J486" t="s">
        <v>1163</v>
      </c>
      <c r="K486" t="s">
        <v>1562</v>
      </c>
      <c r="L486">
        <v>131</v>
      </c>
      <c r="M486">
        <v>578</v>
      </c>
      <c r="O486">
        <v>31.978583</v>
      </c>
      <c r="P486">
        <v>35.991306000000002</v>
      </c>
      <c r="Q486" t="s">
        <v>1563</v>
      </c>
      <c r="R486" t="s">
        <v>3361</v>
      </c>
      <c r="S486" t="s">
        <v>2579</v>
      </c>
      <c r="U486" t="s">
        <v>3362</v>
      </c>
      <c r="V486" t="s">
        <v>55</v>
      </c>
      <c r="Y486" t="s">
        <v>30</v>
      </c>
      <c r="Z486" t="str">
        <f>IF(NOT("https://truemarkets3d.net/3d-virtual-tour/housingbank-realestate/phase3/aq-re-100408/index.html" = ""), HYPERLINK("https://truemarkets3d.net/3d-virtual-tour/housingbank-realestate/phase3/aq-re-100408/index.html", "جولة"), "")</f>
        <v>جولة</v>
      </c>
      <c r="AA486" t="str">
        <f>IF(NOT("https://maps.app.goo.gl/SLMKPZzonANSgeXX9" = ""), HYPERLINK("https://maps.app.goo.gl/SLMKPZzonANSgeXX9", "موقع"), "")</f>
        <v>موقع</v>
      </c>
    </row>
    <row r="487" spans="1:27" x14ac:dyDescent="0.3">
      <c r="A487" t="s">
        <v>1639</v>
      </c>
      <c r="B487" s="8">
        <v>46282.623217592591</v>
      </c>
      <c r="C487" t="s">
        <v>2</v>
      </c>
      <c r="D487" t="s">
        <v>59</v>
      </c>
      <c r="E487" t="s">
        <v>1383</v>
      </c>
      <c r="F487" t="s">
        <v>3432</v>
      </c>
      <c r="G487" t="s">
        <v>21</v>
      </c>
      <c r="H487" t="s">
        <v>1100</v>
      </c>
      <c r="I487" t="s">
        <v>1263</v>
      </c>
      <c r="J487" t="s">
        <v>1381</v>
      </c>
      <c r="K487" t="s">
        <v>1382</v>
      </c>
      <c r="L487">
        <v>132</v>
      </c>
      <c r="M487">
        <v>801</v>
      </c>
      <c r="O487">
        <v>32.002861000000003</v>
      </c>
      <c r="P487">
        <v>35.862250000000003</v>
      </c>
      <c r="Q487" t="s">
        <v>1384</v>
      </c>
      <c r="S487" t="s">
        <v>2525</v>
      </c>
      <c r="U487" t="s">
        <v>3256</v>
      </c>
      <c r="V487" t="s">
        <v>55</v>
      </c>
      <c r="Y487" t="s">
        <v>30</v>
      </c>
      <c r="Z487" t="s">
        <v>30</v>
      </c>
      <c r="AA487" t="str">
        <f>IF(NOT("https://maps.app.goo.gl/JTxDjVi5xfoQLkK18" = ""), HYPERLINK("https://maps.app.goo.gl/JTxDjVi5xfoQLkK18", "موقع"), "")</f>
        <v>موقع</v>
      </c>
    </row>
    <row r="488" spans="1:27" x14ac:dyDescent="0.3">
      <c r="A488" t="s">
        <v>1640</v>
      </c>
      <c r="B488" s="8">
        <v>46282.623217592591</v>
      </c>
      <c r="C488" t="s">
        <v>2</v>
      </c>
      <c r="D488" t="s">
        <v>59</v>
      </c>
      <c r="E488" t="s">
        <v>225</v>
      </c>
      <c r="F488" t="s">
        <v>3433</v>
      </c>
      <c r="G488" t="s">
        <v>21</v>
      </c>
      <c r="H488" t="s">
        <v>1100</v>
      </c>
      <c r="I488" t="s">
        <v>1263</v>
      </c>
      <c r="J488" t="s">
        <v>1399</v>
      </c>
      <c r="K488" t="s">
        <v>1548</v>
      </c>
      <c r="L488">
        <v>132</v>
      </c>
      <c r="M488">
        <v>1000</v>
      </c>
      <c r="O488">
        <v>32.017721999999999</v>
      </c>
      <c r="P488">
        <v>35.863943999999996</v>
      </c>
      <c r="Q488" t="s">
        <v>1237</v>
      </c>
      <c r="R488" t="s">
        <v>3347</v>
      </c>
      <c r="S488" t="s">
        <v>2579</v>
      </c>
      <c r="U488" t="s">
        <v>3348</v>
      </c>
      <c r="V488" t="s">
        <v>55</v>
      </c>
      <c r="Y488" t="s">
        <v>30</v>
      </c>
      <c r="Z488" t="str">
        <f>IF(NOT("https://truemarkets3d.net/3d-virtual-tour/housingbank-realestate/phase3/aq-re-100491/index.html" = ""), HYPERLINK("https://truemarkets3d.net/3d-virtual-tour/housingbank-realestate/phase3/aq-re-100491/index.html", "جولة"), "")</f>
        <v>جولة</v>
      </c>
      <c r="AA488" t="str">
        <f>IF(NOT("https://maps.app.goo.gl/2K8DhtmGr8pKxB687" = ""), HYPERLINK("https://maps.app.goo.gl/2K8DhtmGr8pKxB687", "موقع"), "")</f>
        <v>موقع</v>
      </c>
    </row>
    <row r="489" spans="1:27" x14ac:dyDescent="0.3">
      <c r="A489" t="s">
        <v>1641</v>
      </c>
      <c r="B489" s="8">
        <v>46282.623217592591</v>
      </c>
      <c r="C489" t="s">
        <v>2</v>
      </c>
      <c r="D489" t="s">
        <v>59</v>
      </c>
      <c r="E489" t="s">
        <v>1489</v>
      </c>
      <c r="F489" t="s">
        <v>3434</v>
      </c>
      <c r="G489" t="s">
        <v>21</v>
      </c>
      <c r="H489" t="s">
        <v>1100</v>
      </c>
      <c r="I489" t="s">
        <v>1472</v>
      </c>
      <c r="J489" t="s">
        <v>1473</v>
      </c>
      <c r="K489" t="s">
        <v>1642</v>
      </c>
      <c r="L489">
        <v>-111</v>
      </c>
      <c r="M489">
        <v>203</v>
      </c>
      <c r="O489">
        <v>31.873944000000002</v>
      </c>
      <c r="P489">
        <v>35.834277999999998</v>
      </c>
      <c r="Q489" t="s">
        <v>1643</v>
      </c>
      <c r="R489" t="s">
        <v>3435</v>
      </c>
      <c r="S489" t="s">
        <v>2579</v>
      </c>
      <c r="T489" t="s">
        <v>3436</v>
      </c>
      <c r="U489" t="s">
        <v>3437</v>
      </c>
      <c r="V489" t="s">
        <v>33</v>
      </c>
      <c r="Y489" t="s">
        <v>30</v>
      </c>
      <c r="Z489" t="str">
        <f>IF(NOT("https://truemarkets3d.net/3d-virtual-tour/housingbank-realestate/phase3/aq-re-100520/index.html" = ""), HYPERLINK("https://truemarkets3d.net/3d-virtual-tour/housingbank-realestate/phase3/aq-re-100520/index.html", "جولة"), "")</f>
        <v>جولة</v>
      </c>
      <c r="AA489" t="str">
        <f>IF(NOT("https://maps.app.goo.gl/r93HtguMs6qnk6Fz8" = ""), HYPERLINK("https://maps.app.goo.gl/r93HtguMs6qnk6Fz8", "موقع"), "")</f>
        <v>موقع</v>
      </c>
    </row>
    <row r="490" spans="1:27" x14ac:dyDescent="0.3">
      <c r="A490" t="s">
        <v>1644</v>
      </c>
      <c r="B490" s="8">
        <v>46282.623217592591</v>
      </c>
      <c r="C490" t="s">
        <v>2</v>
      </c>
      <c r="D490" t="s">
        <v>59</v>
      </c>
      <c r="E490" t="s">
        <v>1254</v>
      </c>
      <c r="F490" t="s">
        <v>3438</v>
      </c>
      <c r="G490" t="s">
        <v>21</v>
      </c>
      <c r="H490" t="s">
        <v>1100</v>
      </c>
      <c r="I490" t="s">
        <v>1143</v>
      </c>
      <c r="J490" t="s">
        <v>1153</v>
      </c>
      <c r="K490" t="s">
        <v>1244</v>
      </c>
      <c r="L490">
        <v>111</v>
      </c>
      <c r="M490">
        <v>5339</v>
      </c>
      <c r="Q490" t="s">
        <v>233</v>
      </c>
      <c r="R490" t="s">
        <v>3439</v>
      </c>
      <c r="S490" t="s">
        <v>2579</v>
      </c>
      <c r="V490" t="s">
        <v>43</v>
      </c>
      <c r="Y490" t="s">
        <v>30</v>
      </c>
      <c r="Z490" t="str">
        <f>IF(NOT("https://truemarkets3d.net/3d-virtual-tour/housingbank-realestate/phase3/aq-re-100940/index.html" = ""), HYPERLINK("https://truemarkets3d.net/3d-virtual-tour/housingbank-realestate/phase3/aq-re-100940/index.html", "جولة"), "")</f>
        <v>جولة</v>
      </c>
      <c r="AA490" t="s">
        <v>30</v>
      </c>
    </row>
    <row r="491" spans="1:27" x14ac:dyDescent="0.3">
      <c r="A491" t="s">
        <v>1645</v>
      </c>
      <c r="B491" s="8">
        <v>46282.623217592591</v>
      </c>
      <c r="C491" t="s">
        <v>2</v>
      </c>
      <c r="D491" t="s">
        <v>59</v>
      </c>
      <c r="E491" t="s">
        <v>1493</v>
      </c>
      <c r="F491" t="s">
        <v>3440</v>
      </c>
      <c r="G491" t="s">
        <v>21</v>
      </c>
      <c r="H491" t="s">
        <v>1100</v>
      </c>
      <c r="I491" t="s">
        <v>1424</v>
      </c>
      <c r="J491" t="s">
        <v>1425</v>
      </c>
      <c r="K491" t="s">
        <v>1492</v>
      </c>
      <c r="L491">
        <v>111</v>
      </c>
      <c r="M491">
        <v>870</v>
      </c>
      <c r="Q491" t="s">
        <v>1560</v>
      </c>
      <c r="R491" t="s">
        <v>3359</v>
      </c>
      <c r="S491" t="s">
        <v>2579</v>
      </c>
      <c r="V491" t="s">
        <v>43</v>
      </c>
      <c r="X491" t="s">
        <v>3441</v>
      </c>
      <c r="Y491" t="str">
        <f>IF(NOT("https://youtu.be/lBVUjma6pwY" = ""), HYPERLINK("https://youtu.be/lBVUjma6pwY", "فيديو"), "")</f>
        <v>فيديو</v>
      </c>
      <c r="Z491" t="str">
        <f>IF(NOT("https://truemarkets3d.net/3d-virtual-tour/housingbank-realestate/phase3/aq-re-100969/index.html" = ""), HYPERLINK("https://truemarkets3d.net/3d-virtual-tour/housingbank-realestate/phase3/aq-re-100969/index.html", "جولة"), "")</f>
        <v>جولة</v>
      </c>
      <c r="AA491" t="s">
        <v>30</v>
      </c>
    </row>
    <row r="492" spans="1:27" x14ac:dyDescent="0.3">
      <c r="A492" t="s">
        <v>1646</v>
      </c>
      <c r="B492" s="8">
        <v>46282.623217592591</v>
      </c>
      <c r="C492" t="s">
        <v>2</v>
      </c>
      <c r="D492" t="s">
        <v>59</v>
      </c>
      <c r="E492" t="s">
        <v>1209</v>
      </c>
      <c r="F492" t="s">
        <v>3442</v>
      </c>
      <c r="G492" t="s">
        <v>21</v>
      </c>
      <c r="H492" t="s">
        <v>1100</v>
      </c>
      <c r="I492" t="s">
        <v>1143</v>
      </c>
      <c r="J492" t="s">
        <v>1153</v>
      </c>
      <c r="K492" t="s">
        <v>1647</v>
      </c>
      <c r="L492">
        <v>102</v>
      </c>
      <c r="M492">
        <v>1559</v>
      </c>
      <c r="O492">
        <v>31.896360999999999</v>
      </c>
      <c r="P492">
        <v>35.931750000000001</v>
      </c>
      <c r="Q492" t="s">
        <v>277</v>
      </c>
      <c r="S492" t="s">
        <v>2525</v>
      </c>
      <c r="U492" t="s">
        <v>3443</v>
      </c>
      <c r="Y492" t="s">
        <v>30</v>
      </c>
      <c r="Z492" t="s">
        <v>30</v>
      </c>
      <c r="AA492" t="str">
        <f>IF(NOT("https://maps.app.goo.gl/Nf3fpMdWfz93inGn7" = ""), HYPERLINK("https://maps.app.goo.gl/Nf3fpMdWfz93inGn7", "موقع"), "")</f>
        <v>موقع</v>
      </c>
    </row>
    <row r="493" spans="1:27" x14ac:dyDescent="0.3">
      <c r="A493" t="s">
        <v>1648</v>
      </c>
      <c r="B493" s="8">
        <v>46282.623217592591</v>
      </c>
      <c r="C493" t="s">
        <v>2</v>
      </c>
      <c r="D493" t="s">
        <v>59</v>
      </c>
      <c r="E493" t="s">
        <v>1509</v>
      </c>
      <c r="F493" t="s">
        <v>3444</v>
      </c>
      <c r="G493" t="s">
        <v>21</v>
      </c>
      <c r="H493" t="s">
        <v>1100</v>
      </c>
      <c r="I493" t="s">
        <v>1101</v>
      </c>
      <c r="J493" t="s">
        <v>1102</v>
      </c>
      <c r="K493" t="s">
        <v>1649</v>
      </c>
      <c r="L493">
        <v>-101</v>
      </c>
      <c r="M493">
        <v>740</v>
      </c>
      <c r="O493">
        <v>31.897917</v>
      </c>
      <c r="P493">
        <v>35.885944000000002</v>
      </c>
      <c r="Q493" t="s">
        <v>1504</v>
      </c>
      <c r="R493" t="s">
        <v>3445</v>
      </c>
      <c r="S493" t="s">
        <v>2579</v>
      </c>
      <c r="U493" t="s">
        <v>3446</v>
      </c>
      <c r="V493" t="s">
        <v>33</v>
      </c>
      <c r="Y493" t="s">
        <v>30</v>
      </c>
      <c r="Z493" t="str">
        <f>IF(NOT("https://truemarkets3d.net/3d-virtual-tour/housingbank-realestate/phase3/aq-re-100108/index.html" = ""), HYPERLINK("https://truemarkets3d.net/3d-virtual-tour/housingbank-realestate/phase3/aq-re-100108/index.html", "جولة"), "")</f>
        <v>جولة</v>
      </c>
      <c r="AA493" t="str">
        <f>IF(NOT("https://maps.app.goo.gl/YdooFJ5WEVD69sHY8" = ""), HYPERLINK("https://maps.app.goo.gl/YdooFJ5WEVD69sHY8", "موقع"), "")</f>
        <v>موقع</v>
      </c>
    </row>
    <row r="494" spans="1:27" x14ac:dyDescent="0.3">
      <c r="A494" t="s">
        <v>1650</v>
      </c>
      <c r="B494" s="8">
        <v>46282.623217592591</v>
      </c>
      <c r="C494" t="s">
        <v>2</v>
      </c>
      <c r="D494" t="s">
        <v>59</v>
      </c>
      <c r="E494" t="s">
        <v>1165</v>
      </c>
      <c r="F494" t="s">
        <v>3447</v>
      </c>
      <c r="G494" t="s">
        <v>21</v>
      </c>
      <c r="H494" t="s">
        <v>1100</v>
      </c>
      <c r="I494" t="s">
        <v>1162</v>
      </c>
      <c r="J494" t="s">
        <v>1163</v>
      </c>
      <c r="K494" t="s">
        <v>1562</v>
      </c>
      <c r="L494">
        <v>121</v>
      </c>
      <c r="M494">
        <v>578</v>
      </c>
      <c r="O494">
        <v>31.978583</v>
      </c>
      <c r="P494">
        <v>35.991306000000002</v>
      </c>
      <c r="Q494" t="s">
        <v>165</v>
      </c>
      <c r="R494" t="s">
        <v>3361</v>
      </c>
      <c r="S494" t="s">
        <v>2579</v>
      </c>
      <c r="U494" t="s">
        <v>3369</v>
      </c>
      <c r="V494" t="s">
        <v>73</v>
      </c>
      <c r="Y494" t="s">
        <v>30</v>
      </c>
      <c r="Z494" t="str">
        <f>IF(NOT("https://truemarkets3d.net/3d-virtual-tour/housingbank-realestate/phase3/aq-re-100408/index.html" = ""), HYPERLINK("https://truemarkets3d.net/3d-virtual-tour/housingbank-realestate/phase3/aq-re-100408/index.html", "جولة"), "")</f>
        <v>جولة</v>
      </c>
      <c r="AA494" t="str">
        <f>IF(NOT("https://maps.app.goo.gl/4zBnzzMH3hGj66hr9" = ""), HYPERLINK("https://maps.app.goo.gl/4zBnzzMH3hGj66hr9", "موقع"), "")</f>
        <v>موقع</v>
      </c>
    </row>
    <row r="495" spans="1:27" x14ac:dyDescent="0.3">
      <c r="A495" t="s">
        <v>1651</v>
      </c>
      <c r="B495" s="8">
        <v>46282.623217592591</v>
      </c>
      <c r="C495" t="s">
        <v>2</v>
      </c>
      <c r="D495" t="s">
        <v>59</v>
      </c>
      <c r="E495" t="s">
        <v>1383</v>
      </c>
      <c r="F495" t="s">
        <v>3373</v>
      </c>
      <c r="G495" t="s">
        <v>21</v>
      </c>
      <c r="H495" t="s">
        <v>1100</v>
      </c>
      <c r="I495" t="s">
        <v>1263</v>
      </c>
      <c r="J495" t="s">
        <v>1381</v>
      </c>
      <c r="K495" t="s">
        <v>1382</v>
      </c>
      <c r="L495">
        <v>103</v>
      </c>
      <c r="M495">
        <v>825</v>
      </c>
      <c r="O495">
        <v>32.004666999999998</v>
      </c>
      <c r="P495">
        <v>35.860472000000001</v>
      </c>
      <c r="Q495" t="s">
        <v>175</v>
      </c>
      <c r="R495" t="s">
        <v>3448</v>
      </c>
      <c r="S495" t="s">
        <v>2579</v>
      </c>
      <c r="U495" t="s">
        <v>3449</v>
      </c>
      <c r="V495" t="s">
        <v>28</v>
      </c>
      <c r="Y495" t="s">
        <v>30</v>
      </c>
      <c r="Z495" t="str">
        <f>IF(NOT("https://truemarkets3d.net/3d-virtual-tour/housingbank-realestate/phase3/aq-re-100192/index.html" = ""), HYPERLINK("https://truemarkets3d.net/3d-virtual-tour/housingbank-realestate/phase3/aq-re-100192/index.html", "جولة"), "")</f>
        <v>جولة</v>
      </c>
      <c r="AA495" t="str">
        <f>IF(NOT("https://maps.app.goo.gl/6Q4dnw3jew18N5rP8" = ""), HYPERLINK("https://maps.app.goo.gl/6Q4dnw3jew18N5rP8", "موقع"), "")</f>
        <v>موقع</v>
      </c>
    </row>
    <row r="496" spans="1:27" x14ac:dyDescent="0.3">
      <c r="A496" t="s">
        <v>1652</v>
      </c>
      <c r="B496" s="8">
        <v>46282.623217592591</v>
      </c>
      <c r="C496" t="s">
        <v>2</v>
      </c>
      <c r="D496" t="s">
        <v>59</v>
      </c>
      <c r="E496" t="s">
        <v>1463</v>
      </c>
      <c r="F496" t="s">
        <v>3450</v>
      </c>
      <c r="G496" t="s">
        <v>21</v>
      </c>
      <c r="H496" t="s">
        <v>1100</v>
      </c>
      <c r="I496" t="s">
        <v>1263</v>
      </c>
      <c r="J496" t="s">
        <v>1335</v>
      </c>
      <c r="K496" t="s">
        <v>1653</v>
      </c>
      <c r="L496">
        <v>132</v>
      </c>
      <c r="M496">
        <v>142</v>
      </c>
      <c r="O496">
        <v>32.030693999999997</v>
      </c>
      <c r="P496">
        <v>35.925305999999999</v>
      </c>
      <c r="Q496" t="s">
        <v>1654</v>
      </c>
      <c r="R496" t="s">
        <v>3451</v>
      </c>
      <c r="S496" t="s">
        <v>2579</v>
      </c>
      <c r="U496" t="s">
        <v>3452</v>
      </c>
      <c r="V496" t="s">
        <v>55</v>
      </c>
      <c r="Y496" t="s">
        <v>30</v>
      </c>
      <c r="Z496" t="str">
        <f>IF(NOT("https://truemarkets3d.net/3d-virtual-tour/housingbank-realestate/phase3/aq-re-100009/index.html" = ""), HYPERLINK("https://truemarkets3d.net/3d-virtual-tour/housingbank-realestate/phase3/aq-re-100009/index.html", "جولة"), "")</f>
        <v>جولة</v>
      </c>
      <c r="AA496" t="str">
        <f>IF(NOT("https://maps.app.goo.gl/uCExPUmrskggFGTs8" = ""), HYPERLINK("https://maps.app.goo.gl/uCExPUmrskggFGTs8", "موقع"), "")</f>
        <v>موقع</v>
      </c>
    </row>
    <row r="497" spans="1:27" x14ac:dyDescent="0.3">
      <c r="A497" t="s">
        <v>1655</v>
      </c>
      <c r="B497" s="8">
        <v>46282.623217592591</v>
      </c>
      <c r="C497" t="s">
        <v>2</v>
      </c>
      <c r="D497" t="s">
        <v>59</v>
      </c>
      <c r="E497" t="s">
        <v>225</v>
      </c>
      <c r="F497" t="s">
        <v>3453</v>
      </c>
      <c r="G497" t="s">
        <v>21</v>
      </c>
      <c r="H497" t="s">
        <v>1100</v>
      </c>
      <c r="I497" t="s">
        <v>1263</v>
      </c>
      <c r="J497" t="s">
        <v>1399</v>
      </c>
      <c r="K497" t="s">
        <v>1548</v>
      </c>
      <c r="L497">
        <v>101</v>
      </c>
      <c r="M497">
        <v>1000</v>
      </c>
      <c r="O497">
        <v>32.017721999999999</v>
      </c>
      <c r="P497">
        <v>35.863943999999996</v>
      </c>
      <c r="Q497" t="s">
        <v>1571</v>
      </c>
      <c r="R497" t="s">
        <v>3347</v>
      </c>
      <c r="S497" t="s">
        <v>2579</v>
      </c>
      <c r="U497" t="s">
        <v>3348</v>
      </c>
      <c r="V497" t="s">
        <v>28</v>
      </c>
      <c r="Y497" t="s">
        <v>30</v>
      </c>
      <c r="Z497" t="str">
        <f>IF(NOT("https://truemarkets3d.net/3d-virtual-tour/housingbank-realestate/phase3/aq-re-100491/index.html" = ""), HYPERLINK("https://truemarkets3d.net/3d-virtual-tour/housingbank-realestate/phase3/aq-re-100491/index.html", "جولة"), "")</f>
        <v>جولة</v>
      </c>
      <c r="AA497" t="str">
        <f>IF(NOT("https://maps.app.goo.gl/2K8DhtmGr8pKxB687" = ""), HYPERLINK("https://maps.app.goo.gl/2K8DhtmGr8pKxB687", "موقع"), "")</f>
        <v>موقع</v>
      </c>
    </row>
    <row r="498" spans="1:27" x14ac:dyDescent="0.3">
      <c r="A498" t="s">
        <v>1656</v>
      </c>
      <c r="B498" s="8">
        <v>46282.623217592591</v>
      </c>
      <c r="C498" t="s">
        <v>2</v>
      </c>
      <c r="D498" t="s">
        <v>59</v>
      </c>
      <c r="E498" t="s">
        <v>225</v>
      </c>
      <c r="F498" t="s">
        <v>3454</v>
      </c>
      <c r="G498" t="s">
        <v>21</v>
      </c>
      <c r="H498" t="s">
        <v>1100</v>
      </c>
      <c r="I498" t="s">
        <v>1263</v>
      </c>
      <c r="J498" t="s">
        <v>1399</v>
      </c>
      <c r="K498" t="s">
        <v>1548</v>
      </c>
      <c r="L498">
        <v>111</v>
      </c>
      <c r="M498">
        <v>1000</v>
      </c>
      <c r="O498">
        <v>32.017721999999999</v>
      </c>
      <c r="P498">
        <v>35.863943999999996</v>
      </c>
      <c r="Q498" t="s">
        <v>1571</v>
      </c>
      <c r="R498" t="s">
        <v>3347</v>
      </c>
      <c r="S498" t="s">
        <v>2579</v>
      </c>
      <c r="U498" t="s">
        <v>3348</v>
      </c>
      <c r="V498" t="s">
        <v>43</v>
      </c>
      <c r="Y498" t="s">
        <v>30</v>
      </c>
      <c r="Z498" t="str">
        <f>IF(NOT("https://truemarkets3d.net/3d-virtual-tour/housingbank-realestate/phase3/aq-re-100491/index.html" = ""), HYPERLINK("https://truemarkets3d.net/3d-virtual-tour/housingbank-realestate/phase3/aq-re-100491/index.html", "جولة"), "")</f>
        <v>جولة</v>
      </c>
      <c r="AA498" t="str">
        <f>IF(NOT("https://maps.app.goo.gl/2K8DhtmGr8pKxB687" = ""), HYPERLINK("https://maps.app.goo.gl/2K8DhtmGr8pKxB687", "موقع"), "")</f>
        <v>موقع</v>
      </c>
    </row>
    <row r="499" spans="1:27" x14ac:dyDescent="0.3">
      <c r="A499" t="s">
        <v>1657</v>
      </c>
      <c r="B499" s="8">
        <v>46282.623217592591</v>
      </c>
      <c r="C499" t="s">
        <v>2</v>
      </c>
      <c r="D499" t="s">
        <v>59</v>
      </c>
      <c r="E499" t="s">
        <v>1139</v>
      </c>
      <c r="F499" t="s">
        <v>3455</v>
      </c>
      <c r="G499" t="s">
        <v>21</v>
      </c>
      <c r="H499" t="s">
        <v>1100</v>
      </c>
      <c r="I499" t="s">
        <v>1101</v>
      </c>
      <c r="J499" t="s">
        <v>1102</v>
      </c>
      <c r="K499" t="s">
        <v>1138</v>
      </c>
      <c r="L499">
        <v>-101</v>
      </c>
      <c r="M499">
        <v>263</v>
      </c>
      <c r="O499">
        <v>31.941638999999999</v>
      </c>
      <c r="P499">
        <v>35.895499999999998</v>
      </c>
      <c r="Q499" t="s">
        <v>1658</v>
      </c>
      <c r="R499" t="s">
        <v>3456</v>
      </c>
      <c r="S499" t="s">
        <v>2579</v>
      </c>
      <c r="U499" t="s">
        <v>3457</v>
      </c>
      <c r="V499" t="s">
        <v>33</v>
      </c>
      <c r="X499" t="s">
        <v>3458</v>
      </c>
      <c r="Y499" t="str">
        <f>IF(NOT("https://youtu.be/NVc5uy9flkU" = ""), HYPERLINK("https://youtu.be/NVc5uy9flkU", "فيديو"), "")</f>
        <v>فيديو</v>
      </c>
      <c r="Z499" t="str">
        <f>IF(NOT("https://truemarkets3d.net/3d-virtual-tour/housingbank-realestate/phase3/aq-re-100545/index.html" = ""), HYPERLINK("https://truemarkets3d.net/3d-virtual-tour/housingbank-realestate/phase3/aq-re-100545/index.html", "جولة"), "")</f>
        <v>جولة</v>
      </c>
      <c r="AA499" t="str">
        <f>IF(NOT("https://maps.app.goo.gl/ajB8VPu4pzYSUBmR8" = ""), HYPERLINK("https://maps.app.goo.gl/ajB8VPu4pzYSUBmR8", "موقع"), "")</f>
        <v>موقع</v>
      </c>
    </row>
    <row r="500" spans="1:27" x14ac:dyDescent="0.3">
      <c r="A500" t="s">
        <v>1659</v>
      </c>
      <c r="B500" s="8">
        <v>46282.623217592591</v>
      </c>
      <c r="C500" t="s">
        <v>2</v>
      </c>
      <c r="D500" t="s">
        <v>59</v>
      </c>
      <c r="E500" t="s">
        <v>225</v>
      </c>
      <c r="F500" t="s">
        <v>3459</v>
      </c>
      <c r="G500" t="s">
        <v>21</v>
      </c>
      <c r="H500" t="s">
        <v>1100</v>
      </c>
      <c r="I500" t="s">
        <v>1263</v>
      </c>
      <c r="J500" t="s">
        <v>1399</v>
      </c>
      <c r="K500" t="s">
        <v>1548</v>
      </c>
      <c r="L500">
        <v>-103</v>
      </c>
      <c r="M500">
        <v>1000</v>
      </c>
      <c r="O500">
        <v>32.017721999999999</v>
      </c>
      <c r="P500">
        <v>35.863943999999996</v>
      </c>
      <c r="Q500" t="s">
        <v>1660</v>
      </c>
      <c r="R500" t="s">
        <v>3347</v>
      </c>
      <c r="S500" t="s">
        <v>2579</v>
      </c>
      <c r="T500" t="s">
        <v>3460</v>
      </c>
      <c r="U500" t="s">
        <v>3348</v>
      </c>
      <c r="V500" t="s">
        <v>28</v>
      </c>
      <c r="Y500" t="s">
        <v>30</v>
      </c>
      <c r="Z500" t="str">
        <f>IF(NOT("https://truemarkets3d.net/3d-virtual-tour/housingbank-realestate/phase3/aq-re-100491/index.html" = ""), HYPERLINK("https://truemarkets3d.net/3d-virtual-tour/housingbank-realestate/phase3/aq-re-100491/index.html", "جولة"), "")</f>
        <v>جولة</v>
      </c>
      <c r="AA500" t="str">
        <f>IF(NOT("https://maps.app.goo.gl/2K8DhtmGr8pKxB687" = ""), HYPERLINK("https://maps.app.goo.gl/2K8DhtmGr8pKxB687", "موقع"), "")</f>
        <v>موقع</v>
      </c>
    </row>
    <row r="501" spans="1:27" x14ac:dyDescent="0.3">
      <c r="A501" t="s">
        <v>1661</v>
      </c>
      <c r="B501" s="8">
        <v>46282.623217592591</v>
      </c>
      <c r="C501" t="s">
        <v>2</v>
      </c>
      <c r="D501" t="s">
        <v>59</v>
      </c>
      <c r="E501" t="s">
        <v>1165</v>
      </c>
      <c r="F501" t="s">
        <v>2541</v>
      </c>
      <c r="G501" t="s">
        <v>21</v>
      </c>
      <c r="H501" t="s">
        <v>1100</v>
      </c>
      <c r="I501" t="s">
        <v>1162</v>
      </c>
      <c r="J501" t="s">
        <v>1163</v>
      </c>
      <c r="K501" t="s">
        <v>1562</v>
      </c>
      <c r="L501">
        <v>-101</v>
      </c>
      <c r="M501">
        <v>578</v>
      </c>
      <c r="O501">
        <v>31.978583</v>
      </c>
      <c r="P501">
        <v>35.991306000000002</v>
      </c>
      <c r="Q501" t="s">
        <v>582</v>
      </c>
      <c r="R501" t="s">
        <v>3361</v>
      </c>
      <c r="S501" t="s">
        <v>2579</v>
      </c>
      <c r="U501" t="s">
        <v>3362</v>
      </c>
      <c r="V501" t="s">
        <v>28</v>
      </c>
      <c r="Y501" t="s">
        <v>30</v>
      </c>
      <c r="Z501" t="str">
        <f>IF(NOT("https://truemarkets3d.net/3d-virtual-tour/housingbank-realestate/phase3/aq-re-100408/index.html" = ""), HYPERLINK("https://truemarkets3d.net/3d-virtual-tour/housingbank-realestate/phase3/aq-re-100408/index.html", "جولة"), "")</f>
        <v>جولة</v>
      </c>
      <c r="AA501" t="str">
        <f>IF(NOT("https://maps.app.goo.gl/SLMKPZzonANSgeXX9" = ""), HYPERLINK("https://maps.app.goo.gl/SLMKPZzonANSgeXX9", "موقع"), "")</f>
        <v>موقع</v>
      </c>
    </row>
    <row r="502" spans="1:27" x14ac:dyDescent="0.3">
      <c r="A502" t="s">
        <v>1662</v>
      </c>
      <c r="B502" s="8">
        <v>46282.623217592591</v>
      </c>
      <c r="C502" t="s">
        <v>2</v>
      </c>
      <c r="D502" t="s">
        <v>59</v>
      </c>
      <c r="E502" t="s">
        <v>1383</v>
      </c>
      <c r="F502" t="s">
        <v>3461</v>
      </c>
      <c r="G502" t="s">
        <v>21</v>
      </c>
      <c r="H502" t="s">
        <v>1100</v>
      </c>
      <c r="I502" t="s">
        <v>1263</v>
      </c>
      <c r="J502" t="s">
        <v>1381</v>
      </c>
      <c r="K502" t="s">
        <v>1382</v>
      </c>
      <c r="L502">
        <v>123</v>
      </c>
      <c r="M502">
        <v>1491</v>
      </c>
      <c r="Q502" t="s">
        <v>1663</v>
      </c>
      <c r="S502" t="s">
        <v>2525</v>
      </c>
      <c r="V502" t="s">
        <v>73</v>
      </c>
      <c r="Y502" t="s">
        <v>30</v>
      </c>
      <c r="Z502" t="s">
        <v>30</v>
      </c>
      <c r="AA502" t="s">
        <v>30</v>
      </c>
    </row>
    <row r="503" spans="1:27" x14ac:dyDescent="0.3">
      <c r="A503" t="s">
        <v>1664</v>
      </c>
      <c r="B503" s="8">
        <v>46282.623217592591</v>
      </c>
      <c r="C503" t="s">
        <v>2</v>
      </c>
      <c r="D503" t="s">
        <v>59</v>
      </c>
      <c r="E503" t="s">
        <v>1383</v>
      </c>
      <c r="F503" t="s">
        <v>3462</v>
      </c>
      <c r="G503" t="s">
        <v>21</v>
      </c>
      <c r="H503" t="s">
        <v>1100</v>
      </c>
      <c r="I503" t="s">
        <v>1263</v>
      </c>
      <c r="J503" t="s">
        <v>1381</v>
      </c>
      <c r="K503" t="s">
        <v>1382</v>
      </c>
      <c r="L503">
        <v>-114</v>
      </c>
      <c r="M503">
        <v>1491</v>
      </c>
      <c r="O503">
        <v>32.003194000000001</v>
      </c>
      <c r="P503">
        <v>35.862499999999997</v>
      </c>
      <c r="Q503" t="s">
        <v>845</v>
      </c>
      <c r="S503" t="s">
        <v>2525</v>
      </c>
      <c r="U503" t="s">
        <v>3463</v>
      </c>
      <c r="V503" t="s">
        <v>33</v>
      </c>
      <c r="Y503" t="s">
        <v>30</v>
      </c>
      <c r="Z503" t="s">
        <v>30</v>
      </c>
      <c r="AA503" t="str">
        <f>IF(NOT("https://maps.app.goo.gl/dMoYNjfhfubUr18G7" = ""), HYPERLINK("https://maps.app.goo.gl/dMoYNjfhfubUr18G7", "موقع"), "")</f>
        <v>موقع</v>
      </c>
    </row>
    <row r="504" spans="1:27" x14ac:dyDescent="0.3">
      <c r="A504" t="s">
        <v>1665</v>
      </c>
      <c r="B504" s="8">
        <v>46282.623217592591</v>
      </c>
      <c r="C504" t="s">
        <v>2</v>
      </c>
      <c r="D504" t="s">
        <v>59</v>
      </c>
      <c r="E504" t="s">
        <v>1331</v>
      </c>
      <c r="F504" t="s">
        <v>3464</v>
      </c>
      <c r="G504" t="s">
        <v>21</v>
      </c>
      <c r="H504" t="s">
        <v>1100</v>
      </c>
      <c r="I504" t="s">
        <v>1263</v>
      </c>
      <c r="J504" t="s">
        <v>1329</v>
      </c>
      <c r="K504" t="s">
        <v>1666</v>
      </c>
      <c r="L504">
        <v>-101</v>
      </c>
      <c r="M504">
        <v>1246</v>
      </c>
      <c r="Q504" t="s">
        <v>1611</v>
      </c>
      <c r="R504" t="s">
        <v>3465</v>
      </c>
      <c r="S504" t="s">
        <v>2579</v>
      </c>
      <c r="T504" t="s">
        <v>3466</v>
      </c>
      <c r="V504" t="s">
        <v>28</v>
      </c>
      <c r="Y504" t="s">
        <v>30</v>
      </c>
      <c r="Z504" t="str">
        <f>IF(NOT("https://truemarkets3d.net/3d-virtual-tour/housingbank-realestate/phase3/aq-re-100684/index.html" = ""), HYPERLINK("https://truemarkets3d.net/3d-virtual-tour/housingbank-realestate/phase3/aq-re-100684/index.html", "جولة"), "")</f>
        <v>جولة</v>
      </c>
      <c r="AA504" t="s">
        <v>30</v>
      </c>
    </row>
    <row r="505" spans="1:27" x14ac:dyDescent="0.3">
      <c r="A505" t="s">
        <v>1667</v>
      </c>
      <c r="B505" s="8">
        <v>46282.623217592591</v>
      </c>
      <c r="C505" t="s">
        <v>2</v>
      </c>
      <c r="D505" t="s">
        <v>59</v>
      </c>
      <c r="E505" t="s">
        <v>154</v>
      </c>
      <c r="F505" t="s">
        <v>3467</v>
      </c>
      <c r="G505" t="s">
        <v>21</v>
      </c>
      <c r="H505" t="s">
        <v>1100</v>
      </c>
      <c r="I505" t="s">
        <v>1263</v>
      </c>
      <c r="J505" t="s">
        <v>1381</v>
      </c>
      <c r="K505" t="s">
        <v>1391</v>
      </c>
      <c r="L505">
        <v>-101</v>
      </c>
      <c r="M505">
        <v>2166</v>
      </c>
      <c r="Q505" t="s">
        <v>255</v>
      </c>
      <c r="S505" t="s">
        <v>2525</v>
      </c>
      <c r="V505" t="s">
        <v>33</v>
      </c>
      <c r="Y505" t="s">
        <v>30</v>
      </c>
      <c r="Z505" t="s">
        <v>30</v>
      </c>
      <c r="AA505" t="s">
        <v>30</v>
      </c>
    </row>
    <row r="506" spans="1:27" x14ac:dyDescent="0.3">
      <c r="A506" t="s">
        <v>1668</v>
      </c>
      <c r="B506" s="8">
        <v>46282.623217592591</v>
      </c>
      <c r="C506" t="s">
        <v>2</v>
      </c>
      <c r="D506" t="s">
        <v>59</v>
      </c>
      <c r="E506" t="s">
        <v>1383</v>
      </c>
      <c r="F506" t="s">
        <v>3468</v>
      </c>
      <c r="G506" t="s">
        <v>21</v>
      </c>
      <c r="H506" t="s">
        <v>1100</v>
      </c>
      <c r="I506" t="s">
        <v>1263</v>
      </c>
      <c r="J506" t="s">
        <v>1381</v>
      </c>
      <c r="K506" t="s">
        <v>1669</v>
      </c>
      <c r="L506">
        <v>121</v>
      </c>
      <c r="M506">
        <v>207</v>
      </c>
      <c r="O506">
        <v>31.995528</v>
      </c>
      <c r="P506">
        <v>35.871583000000001</v>
      </c>
      <c r="Q506" t="s">
        <v>1525</v>
      </c>
      <c r="R506" t="s">
        <v>3469</v>
      </c>
      <c r="S506" t="s">
        <v>2579</v>
      </c>
      <c r="T506" t="s">
        <v>3470</v>
      </c>
      <c r="U506" t="s">
        <v>3471</v>
      </c>
      <c r="V506" t="s">
        <v>73</v>
      </c>
      <c r="Y506" t="s">
        <v>30</v>
      </c>
      <c r="Z506" t="str">
        <f>IF(NOT("https://truemarkets3d.net/3d-virtual-tour/housingbank-realestate/phase3/aq-re-100271/index.html" = ""), HYPERLINK("https://truemarkets3d.net/3d-virtual-tour/housingbank-realestate/phase3/aq-re-100271/index.html", "جولة"), "")</f>
        <v>جولة</v>
      </c>
      <c r="AA506" t="str">
        <f>IF(NOT("https://maps.app.goo.gl/aMpzwgxWkCHapCsx9" = ""), HYPERLINK("https://maps.app.goo.gl/aMpzwgxWkCHapCsx9", "موقع"), "")</f>
        <v>موقع</v>
      </c>
    </row>
    <row r="507" spans="1:27" x14ac:dyDescent="0.3">
      <c r="A507" t="s">
        <v>1670</v>
      </c>
      <c r="B507" s="8">
        <v>46282.623217592591</v>
      </c>
      <c r="C507" t="s">
        <v>2</v>
      </c>
      <c r="D507" t="s">
        <v>59</v>
      </c>
      <c r="E507" t="s">
        <v>1279</v>
      </c>
      <c r="F507" t="s">
        <v>3472</v>
      </c>
      <c r="G507" t="s">
        <v>21</v>
      </c>
      <c r="H507" t="s">
        <v>1100</v>
      </c>
      <c r="I507" t="s">
        <v>1162</v>
      </c>
      <c r="J507" t="s">
        <v>1277</v>
      </c>
      <c r="K507" t="s">
        <v>1326</v>
      </c>
      <c r="L507">
        <v>122</v>
      </c>
      <c r="M507">
        <v>1372</v>
      </c>
      <c r="O507">
        <v>32.007277999999999</v>
      </c>
      <c r="P507">
        <v>35.942610999999999</v>
      </c>
      <c r="Q507" t="s">
        <v>1454</v>
      </c>
      <c r="R507" t="s">
        <v>3473</v>
      </c>
      <c r="S507" t="s">
        <v>2579</v>
      </c>
      <c r="U507" t="s">
        <v>3474</v>
      </c>
      <c r="V507" t="s">
        <v>73</v>
      </c>
      <c r="Y507" t="s">
        <v>30</v>
      </c>
      <c r="Z507" t="str">
        <f>IF(NOT("https://truemarkets3d.net/3d-virtual-tour/housingbank-realestate/phase3/aq-re-100383/index.html" = ""), HYPERLINK("https://truemarkets3d.net/3d-virtual-tour/housingbank-realestate/phase3/aq-re-100383/index.html", "جولة"), "")</f>
        <v>جولة</v>
      </c>
      <c r="AA507" t="str">
        <f>IF(NOT("https://maps.app.goo.gl/i1pKTRSJP5eMEYNu6" = ""), HYPERLINK("https://maps.app.goo.gl/i1pKTRSJP5eMEYNu6", "موقع"), "")</f>
        <v>موقع</v>
      </c>
    </row>
    <row r="508" spans="1:27" x14ac:dyDescent="0.3">
      <c r="A508" t="s">
        <v>1671</v>
      </c>
      <c r="B508" s="8">
        <v>46282.623217592591</v>
      </c>
      <c r="C508" t="s">
        <v>2</v>
      </c>
      <c r="D508" t="s">
        <v>59</v>
      </c>
      <c r="E508" t="s">
        <v>1634</v>
      </c>
      <c r="F508" t="s">
        <v>3475</v>
      </c>
      <c r="G508" t="s">
        <v>21</v>
      </c>
      <c r="H508" t="s">
        <v>1100</v>
      </c>
      <c r="I508" t="s">
        <v>1101</v>
      </c>
      <c r="J508" t="s">
        <v>1102</v>
      </c>
      <c r="K508" t="s">
        <v>1672</v>
      </c>
      <c r="L508">
        <v>101</v>
      </c>
      <c r="M508">
        <v>186</v>
      </c>
      <c r="Q508" t="s">
        <v>838</v>
      </c>
      <c r="S508" t="s">
        <v>2525</v>
      </c>
      <c r="V508" t="s">
        <v>28</v>
      </c>
      <c r="Y508" t="s">
        <v>30</v>
      </c>
      <c r="Z508" t="s">
        <v>30</v>
      </c>
      <c r="AA508" t="s">
        <v>30</v>
      </c>
    </row>
    <row r="509" spans="1:27" x14ac:dyDescent="0.3">
      <c r="A509" t="s">
        <v>1673</v>
      </c>
      <c r="B509" s="8">
        <v>46282.623217592591</v>
      </c>
      <c r="C509" t="s">
        <v>2</v>
      </c>
      <c r="D509" t="s">
        <v>59</v>
      </c>
      <c r="E509" t="s">
        <v>1293</v>
      </c>
      <c r="F509" t="s">
        <v>3476</v>
      </c>
      <c r="G509" t="s">
        <v>21</v>
      </c>
      <c r="H509" t="s">
        <v>1100</v>
      </c>
      <c r="I509" t="s">
        <v>1101</v>
      </c>
      <c r="J509" t="s">
        <v>1102</v>
      </c>
      <c r="K509" t="s">
        <v>1674</v>
      </c>
      <c r="L509">
        <v>-101</v>
      </c>
      <c r="M509">
        <v>894</v>
      </c>
      <c r="O509">
        <v>31.910639</v>
      </c>
      <c r="P509">
        <v>35.882806000000002</v>
      </c>
      <c r="Q509" t="s">
        <v>1611</v>
      </c>
      <c r="R509" t="s">
        <v>3477</v>
      </c>
      <c r="S509" t="s">
        <v>2579</v>
      </c>
      <c r="U509" t="s">
        <v>3478</v>
      </c>
      <c r="V509" t="s">
        <v>33</v>
      </c>
      <c r="Y509" t="s">
        <v>30</v>
      </c>
      <c r="Z509" t="str">
        <f>IF(NOT("https://truemarkets3d.net/3d-virtual-tour/housingbank-realestate/phase3/aq-re-100161/index.html" = ""), HYPERLINK("https://truemarkets3d.net/3d-virtual-tour/housingbank-realestate/phase3/aq-re-100161/index.html", "جولة"), "")</f>
        <v>جولة</v>
      </c>
      <c r="AA509" t="str">
        <f>IF(NOT("https://maps.app.goo.gl/wKqU9GA7XXGFP8H2A" = ""), HYPERLINK("https://maps.app.goo.gl/wKqU9GA7XXGFP8H2A", "موقع"), "")</f>
        <v>موقع</v>
      </c>
    </row>
    <row r="510" spans="1:27" x14ac:dyDescent="0.3">
      <c r="A510" t="s">
        <v>1675</v>
      </c>
      <c r="B510" s="8">
        <v>46282.623217592591</v>
      </c>
      <c r="C510" t="s">
        <v>2</v>
      </c>
      <c r="D510" t="s">
        <v>59</v>
      </c>
      <c r="E510" t="s">
        <v>1383</v>
      </c>
      <c r="F510" t="s">
        <v>3479</v>
      </c>
      <c r="G510" t="s">
        <v>21</v>
      </c>
      <c r="H510" t="s">
        <v>1100</v>
      </c>
      <c r="I510" t="s">
        <v>1263</v>
      </c>
      <c r="J510" t="s">
        <v>1381</v>
      </c>
      <c r="K510" t="s">
        <v>1382</v>
      </c>
      <c r="L510">
        <v>132</v>
      </c>
      <c r="M510">
        <v>993</v>
      </c>
      <c r="O510">
        <v>32.002943999999999</v>
      </c>
      <c r="P510">
        <v>35.866472000000002</v>
      </c>
      <c r="Q510" t="s">
        <v>160</v>
      </c>
      <c r="R510" t="s">
        <v>3480</v>
      </c>
      <c r="S510" t="s">
        <v>2579</v>
      </c>
      <c r="U510" t="s">
        <v>3481</v>
      </c>
      <c r="V510" t="s">
        <v>55</v>
      </c>
      <c r="X510" t="s">
        <v>3482</v>
      </c>
      <c r="Y510" t="str">
        <f>IF(NOT("https://youtu.be/mVv6M2xoN7g" = ""), HYPERLINK("https://youtu.be/mVv6M2xoN7g", "فيديو"), "")</f>
        <v>فيديو</v>
      </c>
      <c r="Z510" t="str">
        <f>IF(NOT("https://truemarkets3d.net/3d-virtual-tour/housingbank-realestate/phase3/aq-re-100822/index.html" = ""), HYPERLINK("https://truemarkets3d.net/3d-virtual-tour/housingbank-realestate/phase3/aq-re-100822/index.html", "جولة"), "")</f>
        <v>جولة</v>
      </c>
      <c r="AA510" t="str">
        <f>IF(NOT("https://maps.app.goo.gl/k3F5LNcdHywTLqJP8" = ""), HYPERLINK("https://maps.app.goo.gl/k3F5LNcdHywTLqJP8", "موقع"), "")</f>
        <v>موقع</v>
      </c>
    </row>
    <row r="511" spans="1:27" x14ac:dyDescent="0.3">
      <c r="A511" t="s">
        <v>1676</v>
      </c>
      <c r="B511" s="8">
        <v>46282.623217592591</v>
      </c>
      <c r="C511" t="s">
        <v>2</v>
      </c>
      <c r="D511" t="s">
        <v>59</v>
      </c>
      <c r="E511" t="s">
        <v>154</v>
      </c>
      <c r="F511" t="s">
        <v>3260</v>
      </c>
      <c r="G511" t="s">
        <v>21</v>
      </c>
      <c r="H511" t="s">
        <v>1100</v>
      </c>
      <c r="I511" t="s">
        <v>1263</v>
      </c>
      <c r="J511" t="s">
        <v>1381</v>
      </c>
      <c r="K511" t="s">
        <v>1550</v>
      </c>
      <c r="L511">
        <v>-101</v>
      </c>
      <c r="M511">
        <v>717</v>
      </c>
      <c r="Q511" t="s">
        <v>786</v>
      </c>
      <c r="S511" t="s">
        <v>2525</v>
      </c>
      <c r="V511" t="s">
        <v>33</v>
      </c>
      <c r="Y511" t="s">
        <v>30</v>
      </c>
      <c r="Z511" t="s">
        <v>30</v>
      </c>
      <c r="AA511" t="s">
        <v>30</v>
      </c>
    </row>
    <row r="512" spans="1:27" x14ac:dyDescent="0.3">
      <c r="A512" t="s">
        <v>1677</v>
      </c>
      <c r="B512" s="8">
        <v>46282.623217592591</v>
      </c>
      <c r="C512" t="s">
        <v>2</v>
      </c>
      <c r="D512" t="s">
        <v>59</v>
      </c>
      <c r="E512" t="s">
        <v>1489</v>
      </c>
      <c r="F512" t="s">
        <v>3483</v>
      </c>
      <c r="G512" t="s">
        <v>21</v>
      </c>
      <c r="H512" t="s">
        <v>1100</v>
      </c>
      <c r="I512" t="s">
        <v>1472</v>
      </c>
      <c r="J512" t="s">
        <v>1473</v>
      </c>
      <c r="K512" t="s">
        <v>1678</v>
      </c>
      <c r="L512">
        <v>-102</v>
      </c>
      <c r="M512">
        <v>789</v>
      </c>
      <c r="O512">
        <v>31.886500000000002</v>
      </c>
      <c r="P512">
        <v>35.859777999999999</v>
      </c>
      <c r="Q512" t="s">
        <v>1679</v>
      </c>
      <c r="R512" t="s">
        <v>3484</v>
      </c>
      <c r="S512" t="s">
        <v>2579</v>
      </c>
      <c r="U512" t="s">
        <v>3485</v>
      </c>
      <c r="V512" t="s">
        <v>33</v>
      </c>
      <c r="Y512" t="s">
        <v>30</v>
      </c>
      <c r="Z512" t="str">
        <f>IF(NOT("https://truemarkets3d.net/3d-virtual-tour/housingbank-realestate/phase3/aq-re-100030/index.html" = ""), HYPERLINK("https://truemarkets3d.net/3d-virtual-tour/housingbank-realestate/phase3/aq-re-100030/index.html", "جولة"), "")</f>
        <v>جولة</v>
      </c>
      <c r="AA512" t="str">
        <f>IF(NOT("https://maps.app.goo.gl/3oe7jqC4gNmD6mvC8" = ""), HYPERLINK("https://maps.app.goo.gl/3oe7jqC4gNmD6mvC8", "موقع"), "")</f>
        <v>موقع</v>
      </c>
    </row>
    <row r="513" spans="1:27" x14ac:dyDescent="0.3">
      <c r="A513" t="s">
        <v>1680</v>
      </c>
      <c r="B513" s="8">
        <v>46282.623217592591</v>
      </c>
      <c r="C513" t="s">
        <v>2</v>
      </c>
      <c r="D513" t="s">
        <v>59</v>
      </c>
      <c r="E513" t="s">
        <v>1165</v>
      </c>
      <c r="F513" t="s">
        <v>3486</v>
      </c>
      <c r="G513" t="s">
        <v>21</v>
      </c>
      <c r="H513" t="s">
        <v>1100</v>
      </c>
      <c r="I513" t="s">
        <v>1162</v>
      </c>
      <c r="J513" t="s">
        <v>1163</v>
      </c>
      <c r="K513" t="s">
        <v>1562</v>
      </c>
      <c r="L513">
        <v>112</v>
      </c>
      <c r="M513">
        <v>578</v>
      </c>
      <c r="O513">
        <v>31.978583</v>
      </c>
      <c r="P513">
        <v>35.991306000000002</v>
      </c>
      <c r="Q513" t="s">
        <v>165</v>
      </c>
      <c r="R513" t="s">
        <v>3361</v>
      </c>
      <c r="S513" t="s">
        <v>2579</v>
      </c>
      <c r="U513" t="s">
        <v>3369</v>
      </c>
      <c r="V513" t="s">
        <v>43</v>
      </c>
      <c r="Y513" t="s">
        <v>30</v>
      </c>
      <c r="Z513" t="str">
        <f>IF(NOT("https://truemarkets3d.net/3d-virtual-tour/housingbank-realestate/phase3/aq-re-100408/index.html" = ""), HYPERLINK("https://truemarkets3d.net/3d-virtual-tour/housingbank-realestate/phase3/aq-re-100408/index.html", "جولة"), "")</f>
        <v>جولة</v>
      </c>
      <c r="AA513" t="str">
        <f>IF(NOT("https://maps.app.goo.gl/4zBnzzMH3hGj66hr9" = ""), HYPERLINK("https://maps.app.goo.gl/4zBnzzMH3hGj66hr9", "موقع"), "")</f>
        <v>موقع</v>
      </c>
    </row>
    <row r="514" spans="1:27" x14ac:dyDescent="0.3">
      <c r="A514" t="s">
        <v>1681</v>
      </c>
      <c r="B514" s="8">
        <v>46282.623217592591</v>
      </c>
      <c r="C514" t="s">
        <v>2</v>
      </c>
      <c r="D514" t="s">
        <v>59</v>
      </c>
      <c r="E514" t="s">
        <v>1683</v>
      </c>
      <c r="F514" t="s">
        <v>3487</v>
      </c>
      <c r="G514" t="s">
        <v>21</v>
      </c>
      <c r="H514" t="s">
        <v>1100</v>
      </c>
      <c r="I514" t="s">
        <v>1424</v>
      </c>
      <c r="J514" t="s">
        <v>1425</v>
      </c>
      <c r="K514" t="s">
        <v>1682</v>
      </c>
      <c r="L514">
        <v>-103</v>
      </c>
      <c r="M514">
        <v>1393</v>
      </c>
      <c r="O514">
        <v>31.980277999999998</v>
      </c>
      <c r="P514">
        <v>35.846722</v>
      </c>
      <c r="Q514" t="s">
        <v>186</v>
      </c>
      <c r="R514" t="s">
        <v>3488</v>
      </c>
      <c r="S514" t="s">
        <v>2579</v>
      </c>
      <c r="T514" t="s">
        <v>3489</v>
      </c>
      <c r="U514" t="s">
        <v>3490</v>
      </c>
      <c r="V514" t="s">
        <v>28</v>
      </c>
      <c r="Y514" t="s">
        <v>30</v>
      </c>
      <c r="Z514" t="str">
        <f>IF(NOT("https://truemarkets3d.net/3d-virtual-tour/housingbank-realestate/phase3/aq-re-100254/index.html" = ""), HYPERLINK("https://truemarkets3d.net/3d-virtual-tour/housingbank-realestate/phase3/aq-re-100254/index.html", "جولة"), "")</f>
        <v>جولة</v>
      </c>
      <c r="AA514" t="str">
        <f>IF(NOT("https://maps.app.goo.gl/88QPBBfoB8XZZUmN8" = ""), HYPERLINK("https://maps.app.goo.gl/88QPBBfoB8XZZUmN8", "موقع"), "")</f>
        <v>موقع</v>
      </c>
    </row>
    <row r="515" spans="1:27" x14ac:dyDescent="0.3">
      <c r="A515" t="s">
        <v>1684</v>
      </c>
      <c r="B515" s="8">
        <v>46282.623217592591</v>
      </c>
      <c r="C515" t="s">
        <v>2</v>
      </c>
      <c r="D515" t="s">
        <v>59</v>
      </c>
      <c r="E515" t="s">
        <v>1165</v>
      </c>
      <c r="F515" t="s">
        <v>3491</v>
      </c>
      <c r="G515" t="s">
        <v>21</v>
      </c>
      <c r="H515" t="s">
        <v>1100</v>
      </c>
      <c r="I515" t="s">
        <v>1162</v>
      </c>
      <c r="J515" t="s">
        <v>1163</v>
      </c>
      <c r="K515" t="s">
        <v>1247</v>
      </c>
      <c r="L515">
        <v>101</v>
      </c>
      <c r="M515">
        <v>3272</v>
      </c>
      <c r="O515">
        <v>31.956028</v>
      </c>
      <c r="P515">
        <v>35.976083000000003</v>
      </c>
      <c r="Q515" t="s">
        <v>1227</v>
      </c>
      <c r="S515" t="s">
        <v>2525</v>
      </c>
      <c r="U515" t="s">
        <v>3169</v>
      </c>
      <c r="V515" t="s">
        <v>28</v>
      </c>
      <c r="Y515" t="s">
        <v>30</v>
      </c>
      <c r="Z515" t="s">
        <v>30</v>
      </c>
      <c r="AA515" t="str">
        <f>IF(NOT("https://maps.app.goo.gl/KVbpBtAUNLD4fGf17" = ""), HYPERLINK("https://maps.app.goo.gl/KVbpBtAUNLD4fGf17", "موقع"), "")</f>
        <v>موقع</v>
      </c>
    </row>
    <row r="516" spans="1:27" x14ac:dyDescent="0.3">
      <c r="A516" t="s">
        <v>1685</v>
      </c>
      <c r="B516" s="8">
        <v>46282.623217592591</v>
      </c>
      <c r="C516" t="s">
        <v>2</v>
      </c>
      <c r="D516" t="s">
        <v>59</v>
      </c>
      <c r="E516" t="s">
        <v>1331</v>
      </c>
      <c r="F516" t="s">
        <v>3492</v>
      </c>
      <c r="G516" t="s">
        <v>21</v>
      </c>
      <c r="H516" t="s">
        <v>1100</v>
      </c>
      <c r="I516" t="s">
        <v>1263</v>
      </c>
      <c r="J516" t="s">
        <v>1329</v>
      </c>
      <c r="K516" t="s">
        <v>1616</v>
      </c>
      <c r="L516">
        <v>111</v>
      </c>
      <c r="M516">
        <v>746</v>
      </c>
      <c r="Q516" t="s">
        <v>239</v>
      </c>
      <c r="S516" t="s">
        <v>2525</v>
      </c>
      <c r="V516" t="s">
        <v>43</v>
      </c>
      <c r="Y516" t="s">
        <v>30</v>
      </c>
      <c r="Z516" t="s">
        <v>30</v>
      </c>
      <c r="AA516" t="s">
        <v>30</v>
      </c>
    </row>
    <row r="517" spans="1:27" x14ac:dyDescent="0.3">
      <c r="A517" t="s">
        <v>1686</v>
      </c>
      <c r="B517" s="8">
        <v>46282.623217592591</v>
      </c>
      <c r="C517" t="s">
        <v>2</v>
      </c>
      <c r="D517" t="s">
        <v>59</v>
      </c>
      <c r="E517" t="s">
        <v>1489</v>
      </c>
      <c r="F517" t="s">
        <v>3493</v>
      </c>
      <c r="G517" t="s">
        <v>21</v>
      </c>
      <c r="H517" t="s">
        <v>1100</v>
      </c>
      <c r="I517" t="s">
        <v>1472</v>
      </c>
      <c r="J517" t="s">
        <v>1473</v>
      </c>
      <c r="K517" t="s">
        <v>1631</v>
      </c>
      <c r="L517">
        <v>102</v>
      </c>
      <c r="M517">
        <v>464</v>
      </c>
      <c r="O517">
        <v>31.900971999999999</v>
      </c>
      <c r="P517">
        <v>35.845278</v>
      </c>
      <c r="Q517" t="s">
        <v>1687</v>
      </c>
      <c r="R517" t="s">
        <v>3494</v>
      </c>
      <c r="S517" t="s">
        <v>2579</v>
      </c>
      <c r="U517" t="s">
        <v>3426</v>
      </c>
      <c r="V517" t="s">
        <v>28</v>
      </c>
      <c r="Y517" t="s">
        <v>30</v>
      </c>
      <c r="Z517" t="str">
        <f>IF(NOT("https://truemarkets3d.net/3d-virtual-tour/housingbank-realestate/phase3/aq-re-100178/index.html" = ""), HYPERLINK("https://truemarkets3d.net/3d-virtual-tour/housingbank-realestate/phase3/aq-re-100178/index.html", "جولة"), "")</f>
        <v>جولة</v>
      </c>
      <c r="AA517" t="str">
        <f>IF(NOT("https://maps.app.goo.gl/Xsu5aq4mxzh37M4C6" = ""), HYPERLINK("https://maps.app.goo.gl/Xsu5aq4mxzh37M4C6", "موقع"), "")</f>
        <v>موقع</v>
      </c>
    </row>
    <row r="518" spans="1:27" x14ac:dyDescent="0.3">
      <c r="A518" t="s">
        <v>1688</v>
      </c>
      <c r="B518" s="8">
        <v>46282.623217592591</v>
      </c>
      <c r="C518" t="s">
        <v>2</v>
      </c>
      <c r="D518" t="s">
        <v>59</v>
      </c>
      <c r="E518" t="s">
        <v>225</v>
      </c>
      <c r="F518" t="s">
        <v>3495</v>
      </c>
      <c r="G518" t="s">
        <v>21</v>
      </c>
      <c r="H518" t="s">
        <v>1100</v>
      </c>
      <c r="I518" t="s">
        <v>1263</v>
      </c>
      <c r="J518" t="s">
        <v>1399</v>
      </c>
      <c r="K518" t="s">
        <v>1548</v>
      </c>
      <c r="L518">
        <v>-122</v>
      </c>
      <c r="M518">
        <v>1000</v>
      </c>
      <c r="O518">
        <v>32.017721999999999</v>
      </c>
      <c r="P518">
        <v>35.863943999999996</v>
      </c>
      <c r="Q518" t="s">
        <v>1237</v>
      </c>
      <c r="R518" t="s">
        <v>3347</v>
      </c>
      <c r="S518" t="s">
        <v>2579</v>
      </c>
      <c r="U518" t="s">
        <v>3348</v>
      </c>
      <c r="V518" t="s">
        <v>551</v>
      </c>
      <c r="Y518" t="s">
        <v>30</v>
      </c>
      <c r="Z518" t="str">
        <f>IF(NOT("https://truemarkets3d.net/3d-virtual-tour/housingbank-realestate/phase3/aq-re-100491/index.html" = ""), HYPERLINK("https://truemarkets3d.net/3d-virtual-tour/housingbank-realestate/phase3/aq-re-100491/index.html", "جولة"), "")</f>
        <v>جولة</v>
      </c>
      <c r="AA518" t="str">
        <f>IF(NOT("https://maps.app.goo.gl/2K8DhtmGr8pKxB687" = ""), HYPERLINK("https://maps.app.goo.gl/2K8DhtmGr8pKxB687", "موقع"), "")</f>
        <v>موقع</v>
      </c>
    </row>
    <row r="519" spans="1:27" x14ac:dyDescent="0.3">
      <c r="A519" t="s">
        <v>1689</v>
      </c>
      <c r="B519" s="8">
        <v>46282.623217592591</v>
      </c>
      <c r="C519" t="s">
        <v>2</v>
      </c>
      <c r="D519" t="s">
        <v>59</v>
      </c>
      <c r="E519" t="s">
        <v>225</v>
      </c>
      <c r="F519" t="s">
        <v>3496</v>
      </c>
      <c r="G519" t="s">
        <v>21</v>
      </c>
      <c r="H519" t="s">
        <v>1100</v>
      </c>
      <c r="I519" t="s">
        <v>1263</v>
      </c>
      <c r="J519" t="s">
        <v>1399</v>
      </c>
      <c r="K519" t="s">
        <v>1548</v>
      </c>
      <c r="L519">
        <v>133</v>
      </c>
      <c r="M519">
        <v>1000</v>
      </c>
      <c r="O519">
        <v>32.017721999999999</v>
      </c>
      <c r="P519">
        <v>35.863943999999996</v>
      </c>
      <c r="Q519" t="s">
        <v>1237</v>
      </c>
      <c r="R519" t="s">
        <v>3347</v>
      </c>
      <c r="S519" t="s">
        <v>2579</v>
      </c>
      <c r="U519" t="s">
        <v>3348</v>
      </c>
      <c r="V519" t="s">
        <v>55</v>
      </c>
      <c r="Y519" t="s">
        <v>30</v>
      </c>
      <c r="Z519" t="str">
        <f>IF(NOT("https://truemarkets3d.net/3d-virtual-tour/housingbank-realestate/phase3/aq-re-100491/index.html" = ""), HYPERLINK("https://truemarkets3d.net/3d-virtual-tour/housingbank-realestate/phase3/aq-re-100491/index.html", "جولة"), "")</f>
        <v>جولة</v>
      </c>
      <c r="AA519" t="str">
        <f>IF(NOT("https://maps.app.goo.gl/2K8DhtmGr8pKxB687" = ""), HYPERLINK("https://maps.app.goo.gl/2K8DhtmGr8pKxB687", "موقع"), "")</f>
        <v>موقع</v>
      </c>
    </row>
    <row r="520" spans="1:27" x14ac:dyDescent="0.3">
      <c r="A520" t="s">
        <v>1690</v>
      </c>
      <c r="B520" s="8">
        <v>46282.623217592591</v>
      </c>
      <c r="C520" t="s">
        <v>2</v>
      </c>
      <c r="D520" t="s">
        <v>59</v>
      </c>
      <c r="E520" t="s">
        <v>1383</v>
      </c>
      <c r="F520" t="s">
        <v>3497</v>
      </c>
      <c r="G520" t="s">
        <v>21</v>
      </c>
      <c r="H520" t="s">
        <v>1100</v>
      </c>
      <c r="I520" t="s">
        <v>1263</v>
      </c>
      <c r="J520" t="s">
        <v>1381</v>
      </c>
      <c r="K520" t="s">
        <v>1382</v>
      </c>
      <c r="L520">
        <v>-122</v>
      </c>
      <c r="M520">
        <v>1491</v>
      </c>
      <c r="O520">
        <v>32.003194000000001</v>
      </c>
      <c r="P520">
        <v>35.862499999999997</v>
      </c>
      <c r="Q520" t="s">
        <v>1267</v>
      </c>
      <c r="S520" t="s">
        <v>2525</v>
      </c>
      <c r="U520" t="s">
        <v>3374</v>
      </c>
      <c r="V520" t="s">
        <v>551</v>
      </c>
      <c r="Y520" t="s">
        <v>30</v>
      </c>
      <c r="Z520" t="s">
        <v>30</v>
      </c>
      <c r="AA520" t="str">
        <f>IF(NOT("https://maps.app.goo.gl/tsHJUJgAwGRXb4Nx6" = ""), HYPERLINK("https://maps.app.goo.gl/tsHJUJgAwGRXb4Nx6", "موقع"), "")</f>
        <v>موقع</v>
      </c>
    </row>
    <row r="521" spans="1:27" x14ac:dyDescent="0.3">
      <c r="A521" t="s">
        <v>1691</v>
      </c>
      <c r="B521" s="8">
        <v>46282.623217592591</v>
      </c>
      <c r="C521" t="s">
        <v>2</v>
      </c>
      <c r="D521" t="s">
        <v>59</v>
      </c>
      <c r="E521" t="s">
        <v>1383</v>
      </c>
      <c r="F521" t="s">
        <v>3498</v>
      </c>
      <c r="G521" t="s">
        <v>21</v>
      </c>
      <c r="H521" t="s">
        <v>1100</v>
      </c>
      <c r="I521" t="s">
        <v>1263</v>
      </c>
      <c r="J521" t="s">
        <v>1381</v>
      </c>
      <c r="K521" t="s">
        <v>1382</v>
      </c>
      <c r="L521">
        <v>-111</v>
      </c>
      <c r="M521">
        <v>1491</v>
      </c>
      <c r="O521">
        <v>32.003194000000001</v>
      </c>
      <c r="P521">
        <v>35.862499999999997</v>
      </c>
      <c r="Q521" t="s">
        <v>136</v>
      </c>
      <c r="S521" t="s">
        <v>2525</v>
      </c>
      <c r="U521" t="s">
        <v>3374</v>
      </c>
      <c r="V521" t="s">
        <v>33</v>
      </c>
      <c r="Y521" t="s">
        <v>30</v>
      </c>
      <c r="Z521" t="s">
        <v>30</v>
      </c>
      <c r="AA521" t="str">
        <f>IF(NOT("https://maps.app.goo.gl/tsHJUJgAwGRXb4Nx6" = ""), HYPERLINK("https://maps.app.goo.gl/tsHJUJgAwGRXb4Nx6", "موقع"), "")</f>
        <v>موقع</v>
      </c>
    </row>
    <row r="522" spans="1:27" x14ac:dyDescent="0.3">
      <c r="A522" t="s">
        <v>1692</v>
      </c>
      <c r="B522" s="8">
        <v>46282.623217592591</v>
      </c>
      <c r="C522" t="s">
        <v>2</v>
      </c>
      <c r="D522" t="s">
        <v>59</v>
      </c>
      <c r="E522" t="s">
        <v>1383</v>
      </c>
      <c r="F522" t="s">
        <v>3499</v>
      </c>
      <c r="G522" t="s">
        <v>21</v>
      </c>
      <c r="H522" t="s">
        <v>1100</v>
      </c>
      <c r="I522" t="s">
        <v>1263</v>
      </c>
      <c r="J522" t="s">
        <v>1381</v>
      </c>
      <c r="K522" t="s">
        <v>1382</v>
      </c>
      <c r="L522">
        <v>-111</v>
      </c>
      <c r="M522">
        <v>838</v>
      </c>
      <c r="Q522" t="s">
        <v>1693</v>
      </c>
      <c r="R522" t="s">
        <v>3500</v>
      </c>
      <c r="S522" t="s">
        <v>2579</v>
      </c>
      <c r="V522" t="s">
        <v>33</v>
      </c>
      <c r="X522" t="s">
        <v>3501</v>
      </c>
      <c r="Y522" t="str">
        <f>IF(NOT("https://www.youtube.com/embed/viZV1Vg_Xuw" = ""), HYPERLINK("https://www.youtube.com/embed/viZV1Vg_Xuw", "فيديو"), "")</f>
        <v>فيديو</v>
      </c>
      <c r="Z522" t="str">
        <f>IF(NOT("https://truemarkets3d.net/3d-virtual-tour/housingbank-realestate/phase3/aq-re-100544/index.html" = ""), HYPERLINK("https://truemarkets3d.net/3d-virtual-tour/housingbank-realestate/phase3/aq-re-100544/index.html", "جولة"), "")</f>
        <v>جولة</v>
      </c>
      <c r="AA522" t="s">
        <v>30</v>
      </c>
    </row>
    <row r="523" spans="1:27" x14ac:dyDescent="0.3">
      <c r="A523" t="s">
        <v>1694</v>
      </c>
      <c r="B523" s="8">
        <v>46282.623217592591</v>
      </c>
      <c r="C523" t="s">
        <v>2</v>
      </c>
      <c r="D523" t="s">
        <v>59</v>
      </c>
      <c r="E523" t="s">
        <v>225</v>
      </c>
      <c r="F523" t="s">
        <v>3502</v>
      </c>
      <c r="G523" t="s">
        <v>21</v>
      </c>
      <c r="H523" t="s">
        <v>1100</v>
      </c>
      <c r="I523" t="s">
        <v>1263</v>
      </c>
      <c r="J523" t="s">
        <v>1399</v>
      </c>
      <c r="K523" t="s">
        <v>1548</v>
      </c>
      <c r="L523">
        <v>122</v>
      </c>
      <c r="M523">
        <v>1000</v>
      </c>
      <c r="O523">
        <v>32.017721999999999</v>
      </c>
      <c r="P523">
        <v>35.863943999999996</v>
      </c>
      <c r="Q523" t="s">
        <v>1237</v>
      </c>
      <c r="R523" t="s">
        <v>3347</v>
      </c>
      <c r="S523" t="s">
        <v>2579</v>
      </c>
      <c r="U523" t="s">
        <v>3348</v>
      </c>
      <c r="V523" t="s">
        <v>73</v>
      </c>
      <c r="Y523" t="s">
        <v>30</v>
      </c>
      <c r="Z523" t="str">
        <f>IF(NOT("https://truemarkets3d.net/3d-virtual-tour/housingbank-realestate/phase3/aq-re-100491/index.html" = ""), HYPERLINK("https://truemarkets3d.net/3d-virtual-tour/housingbank-realestate/phase3/aq-re-100491/index.html", "جولة"), "")</f>
        <v>جولة</v>
      </c>
      <c r="AA523" t="str">
        <f>IF(NOT("https://maps.app.goo.gl/2K8DhtmGr8pKxB687" = ""), HYPERLINK("https://maps.app.goo.gl/2K8DhtmGr8pKxB687", "موقع"), "")</f>
        <v>موقع</v>
      </c>
    </row>
    <row r="524" spans="1:27" x14ac:dyDescent="0.3">
      <c r="A524" t="s">
        <v>1695</v>
      </c>
      <c r="B524" s="8">
        <v>46282.623217592591</v>
      </c>
      <c r="C524" t="s">
        <v>2</v>
      </c>
      <c r="D524" t="s">
        <v>59</v>
      </c>
      <c r="E524" t="s">
        <v>1231</v>
      </c>
      <c r="F524" t="s">
        <v>3503</v>
      </c>
      <c r="G524" t="s">
        <v>21</v>
      </c>
      <c r="H524" t="s">
        <v>1100</v>
      </c>
      <c r="I524" t="s">
        <v>1101</v>
      </c>
      <c r="J524" t="s">
        <v>1102</v>
      </c>
      <c r="K524" t="s">
        <v>1696</v>
      </c>
      <c r="L524">
        <v>132</v>
      </c>
      <c r="M524">
        <v>800</v>
      </c>
      <c r="O524">
        <v>31.926055999999999</v>
      </c>
      <c r="P524">
        <v>35.897556000000002</v>
      </c>
      <c r="Q524" t="s">
        <v>160</v>
      </c>
      <c r="S524" t="s">
        <v>2525</v>
      </c>
      <c r="U524" t="s">
        <v>3504</v>
      </c>
      <c r="V524" t="s">
        <v>55</v>
      </c>
      <c r="Y524" t="s">
        <v>30</v>
      </c>
      <c r="Z524" t="s">
        <v>30</v>
      </c>
      <c r="AA524" t="str">
        <f>IF(NOT("https://maps.app.goo.gl/s5BKJStWnakdgGhf6" = ""), HYPERLINK("https://maps.app.goo.gl/s5BKJStWnakdgGhf6", "موقع"), "")</f>
        <v>موقع</v>
      </c>
    </row>
    <row r="525" spans="1:27" x14ac:dyDescent="0.3">
      <c r="A525" t="s">
        <v>1697</v>
      </c>
      <c r="B525" s="8">
        <v>46282.623217592591</v>
      </c>
      <c r="C525" t="s">
        <v>2</v>
      </c>
      <c r="D525" t="s">
        <v>59</v>
      </c>
      <c r="E525" t="s">
        <v>1427</v>
      </c>
      <c r="F525" t="s">
        <v>3505</v>
      </c>
      <c r="G525" t="s">
        <v>21</v>
      </c>
      <c r="H525" t="s">
        <v>1100</v>
      </c>
      <c r="I525" t="s">
        <v>1424</v>
      </c>
      <c r="J525" t="s">
        <v>1425</v>
      </c>
      <c r="K525" t="s">
        <v>1556</v>
      </c>
      <c r="L525">
        <v>102</v>
      </c>
      <c r="M525">
        <v>277</v>
      </c>
      <c r="O525">
        <v>31.948861000000001</v>
      </c>
      <c r="P525">
        <v>35.852832999999997</v>
      </c>
      <c r="Q525" t="s">
        <v>136</v>
      </c>
      <c r="S525" t="s">
        <v>2525</v>
      </c>
      <c r="U525" t="s">
        <v>3506</v>
      </c>
      <c r="V525" t="s">
        <v>28</v>
      </c>
      <c r="Y525" t="s">
        <v>30</v>
      </c>
      <c r="Z525" t="s">
        <v>30</v>
      </c>
      <c r="AA525" t="str">
        <f>IF(NOT("https://maps.app.goo.gl/9oaG8k9HSxh8tNWW7" = ""), HYPERLINK("https://maps.app.goo.gl/9oaG8k9HSxh8tNWW7", "موقع"), "")</f>
        <v>موقع</v>
      </c>
    </row>
    <row r="526" spans="1:27" x14ac:dyDescent="0.3">
      <c r="A526" t="s">
        <v>1698</v>
      </c>
      <c r="B526" s="8">
        <v>46282.623217592591</v>
      </c>
      <c r="C526" t="s">
        <v>2</v>
      </c>
      <c r="D526" t="s">
        <v>59</v>
      </c>
      <c r="E526" t="s">
        <v>1700</v>
      </c>
      <c r="F526" t="s">
        <v>3507</v>
      </c>
      <c r="G526" t="s">
        <v>21</v>
      </c>
      <c r="H526" t="s">
        <v>1100</v>
      </c>
      <c r="I526" t="s">
        <v>1101</v>
      </c>
      <c r="J526" t="s">
        <v>1102</v>
      </c>
      <c r="K526" t="s">
        <v>1699</v>
      </c>
      <c r="L526">
        <v>112</v>
      </c>
      <c r="M526">
        <v>636</v>
      </c>
      <c r="O526">
        <v>31.992249999999999</v>
      </c>
      <c r="P526">
        <v>35.905332999999999</v>
      </c>
      <c r="Q526" t="s">
        <v>1701</v>
      </c>
      <c r="R526" t="s">
        <v>3508</v>
      </c>
      <c r="S526" t="s">
        <v>2579</v>
      </c>
      <c r="T526" t="s">
        <v>3509</v>
      </c>
      <c r="U526" t="s">
        <v>3510</v>
      </c>
      <c r="V526" t="s">
        <v>43</v>
      </c>
      <c r="Y526" t="s">
        <v>30</v>
      </c>
      <c r="Z526" t="str">
        <f>IF(NOT("https://truemarkets3d.net/3d-virtual-tour/housingbank-realestate/phase3/aq-re-100543/index.html" = ""), HYPERLINK("https://truemarkets3d.net/3d-virtual-tour/housingbank-realestate/phase3/aq-re-100543/index.html", "جولة"), "")</f>
        <v>جولة</v>
      </c>
      <c r="AA526" t="str">
        <f>IF(NOT("https://maps.app.goo.gl/fVZ8FRTAT19V959b8" = ""), HYPERLINK("https://maps.app.goo.gl/fVZ8FRTAT19V959b8", "موقع"), "")</f>
        <v>موقع</v>
      </c>
    </row>
    <row r="527" spans="1:27" x14ac:dyDescent="0.3">
      <c r="A527" t="s">
        <v>1702</v>
      </c>
      <c r="B527" s="8">
        <v>46282.623217592591</v>
      </c>
      <c r="C527" t="s">
        <v>2</v>
      </c>
      <c r="D527" t="s">
        <v>59</v>
      </c>
      <c r="E527" t="s">
        <v>225</v>
      </c>
      <c r="F527" t="s">
        <v>3511</v>
      </c>
      <c r="G527" t="s">
        <v>21</v>
      </c>
      <c r="H527" t="s">
        <v>1100</v>
      </c>
      <c r="I527" t="s">
        <v>1263</v>
      </c>
      <c r="J527" t="s">
        <v>1399</v>
      </c>
      <c r="K527" t="s">
        <v>1548</v>
      </c>
      <c r="L527">
        <v>-123</v>
      </c>
      <c r="M527">
        <v>1000</v>
      </c>
      <c r="O527">
        <v>32.017721999999999</v>
      </c>
      <c r="P527">
        <v>35.863943999999996</v>
      </c>
      <c r="Q527" t="s">
        <v>1237</v>
      </c>
      <c r="R527" t="s">
        <v>3347</v>
      </c>
      <c r="S527" t="s">
        <v>2579</v>
      </c>
      <c r="U527" t="s">
        <v>3348</v>
      </c>
      <c r="V527" t="s">
        <v>551</v>
      </c>
      <c r="Y527" t="s">
        <v>30</v>
      </c>
      <c r="Z527" t="str">
        <f>IF(NOT("https://truemarkets3d.net/3d-virtual-tour/housingbank-realestate/phase3/aq-re-100491/index.html" = ""), HYPERLINK("https://truemarkets3d.net/3d-virtual-tour/housingbank-realestate/phase3/aq-re-100491/index.html", "جولة"), "")</f>
        <v>جولة</v>
      </c>
      <c r="AA527" t="str">
        <f>IF(NOT("https://maps.app.goo.gl/2K8DhtmGr8pKxB687" = ""), HYPERLINK("https://maps.app.goo.gl/2K8DhtmGr8pKxB687", "موقع"), "")</f>
        <v>موقع</v>
      </c>
    </row>
    <row r="528" spans="1:27" x14ac:dyDescent="0.3">
      <c r="A528" t="s">
        <v>1703</v>
      </c>
      <c r="B528" s="8">
        <v>46282.623217592591</v>
      </c>
      <c r="C528" t="s">
        <v>2</v>
      </c>
      <c r="D528" t="s">
        <v>59</v>
      </c>
      <c r="E528" t="s">
        <v>1705</v>
      </c>
      <c r="F528" t="s">
        <v>3512</v>
      </c>
      <c r="G528" t="s">
        <v>21</v>
      </c>
      <c r="H528" t="s">
        <v>1100</v>
      </c>
      <c r="I528" t="s">
        <v>1472</v>
      </c>
      <c r="J528" t="s">
        <v>1473</v>
      </c>
      <c r="K528" t="s">
        <v>1704</v>
      </c>
      <c r="L528">
        <v>-101</v>
      </c>
      <c r="M528">
        <v>888</v>
      </c>
      <c r="O528">
        <v>31.904167000000001</v>
      </c>
      <c r="P528">
        <v>35.861305999999999</v>
      </c>
      <c r="Q528" t="s">
        <v>1706</v>
      </c>
      <c r="S528" t="s">
        <v>2525</v>
      </c>
      <c r="U528" t="s">
        <v>3513</v>
      </c>
      <c r="V528" t="s">
        <v>33</v>
      </c>
      <c r="Y528" t="s">
        <v>30</v>
      </c>
      <c r="Z528" t="s">
        <v>30</v>
      </c>
      <c r="AA528" t="str">
        <f>IF(NOT("https://maps.app.goo.gl/KgSWhiZLzkgVXR9o9" = ""), HYPERLINK("https://maps.app.goo.gl/KgSWhiZLzkgVXR9o9", "موقع"), "")</f>
        <v>موقع</v>
      </c>
    </row>
    <row r="529" spans="1:27" x14ac:dyDescent="0.3">
      <c r="A529" t="s">
        <v>1707</v>
      </c>
      <c r="B529" s="8">
        <v>46282.623217592591</v>
      </c>
      <c r="C529" t="s">
        <v>2</v>
      </c>
      <c r="D529" t="s">
        <v>59</v>
      </c>
      <c r="E529" t="s">
        <v>1708</v>
      </c>
      <c r="F529" t="s">
        <v>3514</v>
      </c>
      <c r="G529" t="s">
        <v>21</v>
      </c>
      <c r="H529" t="s">
        <v>1100</v>
      </c>
      <c r="I529" t="s">
        <v>1168</v>
      </c>
      <c r="J529" t="s">
        <v>1169</v>
      </c>
      <c r="K529" t="s">
        <v>1170</v>
      </c>
      <c r="L529">
        <v>104</v>
      </c>
      <c r="M529">
        <v>878</v>
      </c>
      <c r="O529">
        <v>31.842749999999999</v>
      </c>
      <c r="P529">
        <v>35.98075</v>
      </c>
      <c r="Q529" t="s">
        <v>115</v>
      </c>
      <c r="S529" t="s">
        <v>2525</v>
      </c>
      <c r="U529" t="s">
        <v>3515</v>
      </c>
      <c r="V529" t="s">
        <v>28</v>
      </c>
      <c r="Y529" t="s">
        <v>30</v>
      </c>
      <c r="Z529" t="s">
        <v>30</v>
      </c>
      <c r="AA529" t="str">
        <f>IF(NOT("https://maps.app.goo.gl/G9PeGDn5CkEsJfWYA" = ""), HYPERLINK("https://maps.app.goo.gl/G9PeGDn5CkEsJfWYA", "موقع"), "")</f>
        <v>موقع</v>
      </c>
    </row>
    <row r="530" spans="1:27" x14ac:dyDescent="0.3">
      <c r="A530" t="s">
        <v>1709</v>
      </c>
      <c r="B530" s="8">
        <v>46282.623217592591</v>
      </c>
      <c r="C530" t="s">
        <v>2</v>
      </c>
      <c r="D530" t="s">
        <v>59</v>
      </c>
      <c r="E530" t="s">
        <v>1383</v>
      </c>
      <c r="F530" t="s">
        <v>2799</v>
      </c>
      <c r="G530" t="s">
        <v>21</v>
      </c>
      <c r="H530" t="s">
        <v>1100</v>
      </c>
      <c r="I530" t="s">
        <v>1263</v>
      </c>
      <c r="J530" t="s">
        <v>1381</v>
      </c>
      <c r="K530" t="s">
        <v>1382</v>
      </c>
      <c r="L530">
        <v>132</v>
      </c>
      <c r="M530">
        <v>1491</v>
      </c>
      <c r="O530">
        <v>32.003194000000001</v>
      </c>
      <c r="P530">
        <v>35.862499999999997</v>
      </c>
      <c r="Q530" t="s">
        <v>1530</v>
      </c>
      <c r="S530" t="s">
        <v>2525</v>
      </c>
      <c r="U530" t="s">
        <v>3374</v>
      </c>
      <c r="V530" t="s">
        <v>55</v>
      </c>
      <c r="Y530" t="s">
        <v>30</v>
      </c>
      <c r="Z530" t="s">
        <v>30</v>
      </c>
      <c r="AA530" t="str">
        <f>IF(NOT("https://maps.app.goo.gl/tsHJUJgAwGRXb4Nx6" = ""), HYPERLINK("https://maps.app.goo.gl/tsHJUJgAwGRXb4Nx6", "موقع"), "")</f>
        <v>موقع</v>
      </c>
    </row>
    <row r="531" spans="1:27" x14ac:dyDescent="0.3">
      <c r="A531" t="s">
        <v>1710</v>
      </c>
      <c r="B531" s="8">
        <v>46282.623217592591</v>
      </c>
      <c r="C531" t="s">
        <v>2</v>
      </c>
      <c r="D531" t="s">
        <v>59</v>
      </c>
      <c r="E531" t="s">
        <v>1524</v>
      </c>
      <c r="F531" t="s">
        <v>3516</v>
      </c>
      <c r="G531" t="s">
        <v>21</v>
      </c>
      <c r="H531" t="s">
        <v>1100</v>
      </c>
      <c r="I531" t="s">
        <v>1424</v>
      </c>
      <c r="J531" t="s">
        <v>1425</v>
      </c>
      <c r="K531" t="s">
        <v>1523</v>
      </c>
      <c r="L531">
        <v>102</v>
      </c>
      <c r="M531">
        <v>2298</v>
      </c>
      <c r="Q531" t="s">
        <v>1711</v>
      </c>
      <c r="S531" t="s">
        <v>2525</v>
      </c>
      <c r="V531" t="s">
        <v>28</v>
      </c>
      <c r="Y531" t="s">
        <v>30</v>
      </c>
      <c r="Z531" t="s">
        <v>30</v>
      </c>
      <c r="AA531" t="s">
        <v>30</v>
      </c>
    </row>
    <row r="532" spans="1:27" x14ac:dyDescent="0.3">
      <c r="A532" t="s">
        <v>1712</v>
      </c>
      <c r="B532" s="8">
        <v>46282.623217592591</v>
      </c>
      <c r="C532" t="s">
        <v>2</v>
      </c>
      <c r="D532" t="s">
        <v>59</v>
      </c>
      <c r="E532" t="s">
        <v>1209</v>
      </c>
      <c r="F532" t="s">
        <v>3358</v>
      </c>
      <c r="G532" t="s">
        <v>21</v>
      </c>
      <c r="H532" t="s">
        <v>1100</v>
      </c>
      <c r="I532" t="s">
        <v>1143</v>
      </c>
      <c r="J532" t="s">
        <v>1153</v>
      </c>
      <c r="K532" t="s">
        <v>1154</v>
      </c>
      <c r="L532">
        <v>-101</v>
      </c>
      <c r="M532">
        <v>1532</v>
      </c>
      <c r="O532">
        <v>1</v>
      </c>
      <c r="P532">
        <v>1</v>
      </c>
      <c r="Q532" t="s">
        <v>1713</v>
      </c>
      <c r="S532" t="s">
        <v>2525</v>
      </c>
      <c r="U532" t="s">
        <v>3153</v>
      </c>
      <c r="V532" t="s">
        <v>33</v>
      </c>
      <c r="Y532" t="s">
        <v>30</v>
      </c>
      <c r="Z532" t="s">
        <v>30</v>
      </c>
      <c r="AA532" t="str">
        <f>IF(NOT("https://maps.app.goo.gl/bf5suPh1y295eoDY6" = ""), HYPERLINK("https://maps.app.goo.gl/bf5suPh1y295eoDY6", "موقع"), "")</f>
        <v>موقع</v>
      </c>
    </row>
    <row r="533" spans="1:27" x14ac:dyDescent="0.3">
      <c r="A533" t="s">
        <v>1714</v>
      </c>
      <c r="B533" s="8">
        <v>46282.623217592591</v>
      </c>
      <c r="C533" t="s">
        <v>2</v>
      </c>
      <c r="D533" t="s">
        <v>59</v>
      </c>
      <c r="E533" t="s">
        <v>1622</v>
      </c>
      <c r="F533" t="s">
        <v>3517</v>
      </c>
      <c r="G533" t="s">
        <v>21</v>
      </c>
      <c r="H533" t="s">
        <v>1100</v>
      </c>
      <c r="I533" t="s">
        <v>1263</v>
      </c>
      <c r="J533" t="s">
        <v>1399</v>
      </c>
      <c r="K533" t="s">
        <v>1621</v>
      </c>
      <c r="L533">
        <v>123</v>
      </c>
      <c r="M533">
        <v>1010</v>
      </c>
      <c r="O533">
        <v>32.030082999999998</v>
      </c>
      <c r="P533">
        <v>35.822972</v>
      </c>
      <c r="Q533" t="s">
        <v>292</v>
      </c>
      <c r="S533" t="s">
        <v>2525</v>
      </c>
      <c r="U533" t="s">
        <v>3518</v>
      </c>
      <c r="V533" t="s">
        <v>73</v>
      </c>
      <c r="Y533" t="s">
        <v>30</v>
      </c>
      <c r="Z533" t="s">
        <v>30</v>
      </c>
      <c r="AA533" t="str">
        <f>IF(NOT("https://maps.app.goo.gl/Q4CPo1Jsu7wMYEP18" = ""), HYPERLINK("https://maps.app.goo.gl/Q4CPo1Jsu7wMYEP18", "موقع"), "")</f>
        <v>موقع</v>
      </c>
    </row>
    <row r="534" spans="1:27" x14ac:dyDescent="0.3">
      <c r="A534" t="s">
        <v>1715</v>
      </c>
      <c r="B534" s="8">
        <v>46282.623217592591</v>
      </c>
      <c r="C534" t="s">
        <v>2</v>
      </c>
      <c r="D534" t="s">
        <v>59</v>
      </c>
      <c r="E534" t="s">
        <v>1185</v>
      </c>
      <c r="F534" t="s">
        <v>3519</v>
      </c>
      <c r="G534" t="s">
        <v>21</v>
      </c>
      <c r="H534" t="s">
        <v>1100</v>
      </c>
      <c r="I534" t="s">
        <v>1162</v>
      </c>
      <c r="J534" t="s">
        <v>1183</v>
      </c>
      <c r="K534" t="s">
        <v>333</v>
      </c>
      <c r="L534">
        <v>132</v>
      </c>
      <c r="M534">
        <v>576</v>
      </c>
      <c r="O534">
        <v>31.986443999999999</v>
      </c>
      <c r="P534">
        <v>35.946416999999997</v>
      </c>
      <c r="Q534" t="s">
        <v>867</v>
      </c>
      <c r="R534" t="s">
        <v>3520</v>
      </c>
      <c r="S534" t="s">
        <v>2579</v>
      </c>
      <c r="U534" t="s">
        <v>3367</v>
      </c>
      <c r="V534" t="s">
        <v>55</v>
      </c>
      <c r="Y534" t="s">
        <v>30</v>
      </c>
      <c r="Z534" t="str">
        <f>IF(NOT("https://truemarkets3d.net/3d-virtual-tour/housingbank-realestate/phase3/aq-re-100211/index.html" = ""), HYPERLINK("https://truemarkets3d.net/3d-virtual-tour/housingbank-realestate/phase3/aq-re-100211/index.html", "جولة"), "")</f>
        <v>جولة</v>
      </c>
      <c r="AA534" t="str">
        <f>IF(NOT("https://maps.app.goo.gl/6RTC5AfjCgCP24wy5" = ""), HYPERLINK("https://maps.app.goo.gl/6RTC5AfjCgCP24wy5", "موقع"), "")</f>
        <v>موقع</v>
      </c>
    </row>
    <row r="535" spans="1:27" x14ac:dyDescent="0.3">
      <c r="A535" t="s">
        <v>1716</v>
      </c>
      <c r="B535" s="8">
        <v>46282.623217592591</v>
      </c>
      <c r="C535" t="s">
        <v>2</v>
      </c>
      <c r="D535" t="s">
        <v>59</v>
      </c>
      <c r="E535" t="s">
        <v>1383</v>
      </c>
      <c r="F535" t="s">
        <v>3521</v>
      </c>
      <c r="G535" t="s">
        <v>21</v>
      </c>
      <c r="H535" t="s">
        <v>1100</v>
      </c>
      <c r="I535" t="s">
        <v>1263</v>
      </c>
      <c r="J535" t="s">
        <v>1381</v>
      </c>
      <c r="K535" t="s">
        <v>1382</v>
      </c>
      <c r="L535">
        <v>-121</v>
      </c>
      <c r="M535">
        <v>801</v>
      </c>
      <c r="O535">
        <v>32.002861000000003</v>
      </c>
      <c r="P535">
        <v>35.862250000000003</v>
      </c>
      <c r="Q535" t="s">
        <v>292</v>
      </c>
      <c r="S535" t="s">
        <v>2525</v>
      </c>
      <c r="U535" t="s">
        <v>3256</v>
      </c>
      <c r="V535" t="s">
        <v>33</v>
      </c>
      <c r="Y535" t="s">
        <v>30</v>
      </c>
      <c r="Z535" t="s">
        <v>30</v>
      </c>
      <c r="AA535" t="str">
        <f>IF(NOT("https://maps.app.goo.gl/JTxDjVi5xfoQLkK18" = ""), HYPERLINK("https://maps.app.goo.gl/JTxDjVi5xfoQLkK18", "موقع"), "")</f>
        <v>موقع</v>
      </c>
    </row>
    <row r="536" spans="1:27" x14ac:dyDescent="0.3">
      <c r="A536" t="s">
        <v>1717</v>
      </c>
      <c r="B536" s="8">
        <v>46282.623217592591</v>
      </c>
      <c r="C536" t="s">
        <v>2</v>
      </c>
      <c r="D536" t="s">
        <v>59</v>
      </c>
      <c r="E536" t="s">
        <v>1279</v>
      </c>
      <c r="F536" t="s">
        <v>3522</v>
      </c>
      <c r="G536" t="s">
        <v>21</v>
      </c>
      <c r="H536" t="s">
        <v>1100</v>
      </c>
      <c r="I536" t="s">
        <v>1162</v>
      </c>
      <c r="J536" t="s">
        <v>1277</v>
      </c>
      <c r="K536" t="s">
        <v>1326</v>
      </c>
      <c r="L536">
        <v>132</v>
      </c>
      <c r="M536">
        <v>603</v>
      </c>
      <c r="O536">
        <v>32.008721999999999</v>
      </c>
      <c r="P536">
        <v>35.940306</v>
      </c>
      <c r="Q536" t="s">
        <v>1718</v>
      </c>
      <c r="S536" t="s">
        <v>2525</v>
      </c>
      <c r="U536" t="s">
        <v>3523</v>
      </c>
      <c r="V536" t="s">
        <v>55</v>
      </c>
      <c r="Y536" t="s">
        <v>30</v>
      </c>
      <c r="Z536" t="s">
        <v>30</v>
      </c>
      <c r="AA536" t="str">
        <f>IF(NOT("https://maps.app.goo.gl/nsYLTCxKRNsTn9aT7" = ""), HYPERLINK("https://maps.app.goo.gl/nsYLTCxKRNsTn9aT7", "موقع"), "")</f>
        <v>موقع</v>
      </c>
    </row>
    <row r="537" spans="1:27" x14ac:dyDescent="0.3">
      <c r="A537" t="s">
        <v>1719</v>
      </c>
      <c r="B537" s="8">
        <v>46282.623217592591</v>
      </c>
      <c r="C537" t="s">
        <v>2</v>
      </c>
      <c r="D537" t="s">
        <v>59</v>
      </c>
      <c r="E537" t="s">
        <v>1331</v>
      </c>
      <c r="F537" t="s">
        <v>3524</v>
      </c>
      <c r="G537" t="s">
        <v>21</v>
      </c>
      <c r="H537" t="s">
        <v>1100</v>
      </c>
      <c r="I537" t="s">
        <v>1263</v>
      </c>
      <c r="J537" t="s">
        <v>1329</v>
      </c>
      <c r="K537" t="s">
        <v>1666</v>
      </c>
      <c r="L537">
        <v>131</v>
      </c>
      <c r="M537">
        <v>1174</v>
      </c>
      <c r="O537">
        <v>32.015028000000001</v>
      </c>
      <c r="P537">
        <v>35.880972</v>
      </c>
      <c r="Q537" t="s">
        <v>1343</v>
      </c>
      <c r="R537" t="s">
        <v>3525</v>
      </c>
      <c r="S537" t="s">
        <v>2579</v>
      </c>
      <c r="U537" t="s">
        <v>3526</v>
      </c>
      <c r="V537" t="s">
        <v>55</v>
      </c>
      <c r="Y537" t="s">
        <v>30</v>
      </c>
      <c r="Z537" t="str">
        <f>IF(NOT("https://truemarkets3d.net/3d-virtual-tour/housingbank-realestate/phase3/aq-re-100208/index.html" = ""), HYPERLINK("https://truemarkets3d.net/3d-virtual-tour/housingbank-realestate/phase3/aq-re-100208/index.html", "جولة"), "")</f>
        <v>جولة</v>
      </c>
      <c r="AA537" t="str">
        <f>IF(NOT("https://maps.app.goo.gl/cjTN6wCB3ceEm5SD9" = ""), HYPERLINK("https://maps.app.goo.gl/cjTN6wCB3ceEm5SD9", "موقع"), "")</f>
        <v>موقع</v>
      </c>
    </row>
    <row r="538" spans="1:27" x14ac:dyDescent="0.3">
      <c r="A538" t="s">
        <v>1720</v>
      </c>
      <c r="B538" s="8">
        <v>46282.623217592591</v>
      </c>
      <c r="C538" t="s">
        <v>2</v>
      </c>
      <c r="D538" t="s">
        <v>59</v>
      </c>
      <c r="E538" t="s">
        <v>1331</v>
      </c>
      <c r="F538" t="s">
        <v>3527</v>
      </c>
      <c r="G538" t="s">
        <v>21</v>
      </c>
      <c r="H538" t="s">
        <v>1100</v>
      </c>
      <c r="I538" t="s">
        <v>1263</v>
      </c>
      <c r="J538" t="s">
        <v>1329</v>
      </c>
      <c r="K538" t="s">
        <v>1721</v>
      </c>
      <c r="L538">
        <v>-101</v>
      </c>
      <c r="M538">
        <v>919</v>
      </c>
      <c r="O538">
        <v>32.035722</v>
      </c>
      <c r="P538">
        <v>35.870944000000001</v>
      </c>
      <c r="Q538" t="s">
        <v>191</v>
      </c>
      <c r="R538" t="s">
        <v>3528</v>
      </c>
      <c r="S538" t="s">
        <v>2579</v>
      </c>
      <c r="U538" t="s">
        <v>3529</v>
      </c>
      <c r="V538" t="s">
        <v>28</v>
      </c>
      <c r="Y538" t="s">
        <v>30</v>
      </c>
      <c r="Z538" t="str">
        <f>IF(NOT("https://truemarkets3d.net/3d-virtual-tour/housingbank-realestate/phase3/aq-re-100181/index.html" = ""), HYPERLINK("https://truemarkets3d.net/3d-virtual-tour/housingbank-realestate/phase3/aq-re-100181/index.html", "جولة"), "")</f>
        <v>جولة</v>
      </c>
      <c r="AA538" t="str">
        <f>IF(NOT("https://maps.app.goo.gl/YUAbJzqRfddPN5tZ7" = ""), HYPERLINK("https://maps.app.goo.gl/YUAbJzqRfddPN5tZ7", "موقع"), "")</f>
        <v>موقع</v>
      </c>
    </row>
    <row r="539" spans="1:27" x14ac:dyDescent="0.3">
      <c r="A539" t="s">
        <v>1722</v>
      </c>
      <c r="B539" s="8">
        <v>46282.623217592591</v>
      </c>
      <c r="C539" t="s">
        <v>2</v>
      </c>
      <c r="D539" t="s">
        <v>59</v>
      </c>
      <c r="E539" t="s">
        <v>1165</v>
      </c>
      <c r="F539" t="s">
        <v>3530</v>
      </c>
      <c r="G539" t="s">
        <v>21</v>
      </c>
      <c r="H539" t="s">
        <v>1100</v>
      </c>
      <c r="I539" t="s">
        <v>1162</v>
      </c>
      <c r="J539" t="s">
        <v>1163</v>
      </c>
      <c r="K539" t="s">
        <v>1562</v>
      </c>
      <c r="L539">
        <v>-102</v>
      </c>
      <c r="M539">
        <v>578</v>
      </c>
      <c r="O539">
        <v>31.978583</v>
      </c>
      <c r="P539">
        <v>35.991306000000002</v>
      </c>
      <c r="Q539" t="s">
        <v>1723</v>
      </c>
      <c r="R539" t="s">
        <v>3361</v>
      </c>
      <c r="S539" t="s">
        <v>2579</v>
      </c>
      <c r="U539" t="s">
        <v>3369</v>
      </c>
      <c r="V539" t="s">
        <v>28</v>
      </c>
      <c r="Y539" t="s">
        <v>30</v>
      </c>
      <c r="Z539" t="str">
        <f>IF(NOT("https://truemarkets3d.net/3d-virtual-tour/housingbank-realestate/phase3/aq-re-100408/index.html" = ""), HYPERLINK("https://truemarkets3d.net/3d-virtual-tour/housingbank-realestate/phase3/aq-re-100408/index.html", "جولة"), "")</f>
        <v>جولة</v>
      </c>
      <c r="AA539" t="str">
        <f>IF(NOT("https://maps.app.goo.gl/4zBnzzMH3hGj66hr9" = ""), HYPERLINK("https://maps.app.goo.gl/4zBnzzMH3hGj66hr9", "موقع"), "")</f>
        <v>موقع</v>
      </c>
    </row>
    <row r="540" spans="1:27" x14ac:dyDescent="0.3">
      <c r="A540" t="s">
        <v>1724</v>
      </c>
      <c r="B540" s="8">
        <v>46282.623217592591</v>
      </c>
      <c r="C540" t="s">
        <v>2</v>
      </c>
      <c r="D540" t="s">
        <v>59</v>
      </c>
      <c r="E540" t="s">
        <v>1637</v>
      </c>
      <c r="F540" t="s">
        <v>3531</v>
      </c>
      <c r="G540" t="s">
        <v>21</v>
      </c>
      <c r="H540" t="s">
        <v>1100</v>
      </c>
      <c r="I540" t="s">
        <v>1263</v>
      </c>
      <c r="J540" t="s">
        <v>1399</v>
      </c>
      <c r="K540" t="s">
        <v>1725</v>
      </c>
      <c r="L540">
        <v>103</v>
      </c>
      <c r="M540">
        <v>1051</v>
      </c>
      <c r="O540">
        <v>32.014611000000002</v>
      </c>
      <c r="P540">
        <v>35.854083000000003</v>
      </c>
      <c r="Q540" t="s">
        <v>1332</v>
      </c>
      <c r="R540" t="s">
        <v>3532</v>
      </c>
      <c r="S540" t="s">
        <v>2579</v>
      </c>
      <c r="U540" t="s">
        <v>3533</v>
      </c>
      <c r="V540" t="s">
        <v>28</v>
      </c>
      <c r="Y540" t="s">
        <v>30</v>
      </c>
      <c r="Z540" t="str">
        <f>IF(NOT("https://truemarkets3d.net/3d-virtual-tour/housingbank-realestate/phase3/aq-re-100200/index.html" = ""), HYPERLINK("https://truemarkets3d.net/3d-virtual-tour/housingbank-realestate/phase3/aq-re-100200/index.html", "جولة"), "")</f>
        <v>جولة</v>
      </c>
      <c r="AA540" t="str">
        <f>IF(NOT("https://maps.app.goo.gl/CbG9D9wahLWL4rFi9" = ""), HYPERLINK("https://maps.app.goo.gl/CbG9D9wahLWL4rFi9", "موقع"), "")</f>
        <v>موقع</v>
      </c>
    </row>
    <row r="541" spans="1:27" x14ac:dyDescent="0.3">
      <c r="A541" t="s">
        <v>1726</v>
      </c>
      <c r="B541" s="8">
        <v>46282.623217592591</v>
      </c>
      <c r="C541" t="s">
        <v>2</v>
      </c>
      <c r="D541" t="s">
        <v>59</v>
      </c>
      <c r="E541" t="s">
        <v>1165</v>
      </c>
      <c r="F541" t="s">
        <v>3534</v>
      </c>
      <c r="G541" t="s">
        <v>21</v>
      </c>
      <c r="H541" t="s">
        <v>1100</v>
      </c>
      <c r="I541" t="s">
        <v>1162</v>
      </c>
      <c r="J541" t="s">
        <v>1163</v>
      </c>
      <c r="K541" t="s">
        <v>1562</v>
      </c>
      <c r="L541">
        <v>101</v>
      </c>
      <c r="M541">
        <v>578</v>
      </c>
      <c r="O541">
        <v>31.978583</v>
      </c>
      <c r="P541">
        <v>35.991306000000002</v>
      </c>
      <c r="Q541" t="s">
        <v>165</v>
      </c>
      <c r="R541" t="s">
        <v>3361</v>
      </c>
      <c r="S541" t="s">
        <v>2579</v>
      </c>
      <c r="U541" t="s">
        <v>3535</v>
      </c>
      <c r="V541" t="s">
        <v>28</v>
      </c>
      <c r="Y541" t="s">
        <v>30</v>
      </c>
      <c r="Z541" t="str">
        <f>IF(NOT("https://truemarkets3d.net/3d-virtual-tour/housingbank-realestate/phase3/aq-re-100408/index.html" = ""), HYPERLINK("https://truemarkets3d.net/3d-virtual-tour/housingbank-realestate/phase3/aq-re-100408/index.html", "جولة"), "")</f>
        <v>جولة</v>
      </c>
      <c r="AA541" t="str">
        <f>IF(NOT("https://maps.app.goo.gl/mqra95PA6ATXR1FB9" = ""), HYPERLINK("https://maps.app.goo.gl/mqra95PA6ATXR1FB9", "موقع"), "")</f>
        <v>موقع</v>
      </c>
    </row>
    <row r="542" spans="1:27" x14ac:dyDescent="0.3">
      <c r="A542" t="s">
        <v>1727</v>
      </c>
      <c r="B542" s="8">
        <v>46282.623217592591</v>
      </c>
      <c r="C542" t="s">
        <v>2</v>
      </c>
      <c r="D542" t="s">
        <v>59</v>
      </c>
      <c r="E542" t="s">
        <v>1509</v>
      </c>
      <c r="F542" t="s">
        <v>3536</v>
      </c>
      <c r="G542" t="s">
        <v>21</v>
      </c>
      <c r="H542" t="s">
        <v>1100</v>
      </c>
      <c r="I542" t="s">
        <v>1472</v>
      </c>
      <c r="J542" t="s">
        <v>1507</v>
      </c>
      <c r="K542" t="s">
        <v>1728</v>
      </c>
      <c r="L542">
        <v>-102</v>
      </c>
      <c r="M542">
        <v>395</v>
      </c>
      <c r="Q542" t="s">
        <v>1466</v>
      </c>
      <c r="S542" t="s">
        <v>2525</v>
      </c>
      <c r="V542" t="s">
        <v>33</v>
      </c>
      <c r="Y542" t="s">
        <v>30</v>
      </c>
      <c r="Z542" t="s">
        <v>30</v>
      </c>
      <c r="AA542" t="s">
        <v>30</v>
      </c>
    </row>
    <row r="543" spans="1:27" x14ac:dyDescent="0.3">
      <c r="A543" t="s">
        <v>1729</v>
      </c>
      <c r="B543" s="8">
        <v>46282.623217592591</v>
      </c>
      <c r="C543" t="s">
        <v>2</v>
      </c>
      <c r="D543" t="s">
        <v>59</v>
      </c>
      <c r="E543" t="s">
        <v>225</v>
      </c>
      <c r="F543" t="s">
        <v>3537</v>
      </c>
      <c r="G543" t="s">
        <v>21</v>
      </c>
      <c r="H543" t="s">
        <v>1100</v>
      </c>
      <c r="I543" t="s">
        <v>1263</v>
      </c>
      <c r="J543" t="s">
        <v>1399</v>
      </c>
      <c r="K543" t="s">
        <v>1548</v>
      </c>
      <c r="L543">
        <v>113</v>
      </c>
      <c r="M543">
        <v>1000</v>
      </c>
      <c r="O543">
        <v>32.017721999999999</v>
      </c>
      <c r="P543">
        <v>35.863943999999996</v>
      </c>
      <c r="Q543" t="s">
        <v>1237</v>
      </c>
      <c r="R543" t="s">
        <v>3347</v>
      </c>
      <c r="S543" t="s">
        <v>2579</v>
      </c>
      <c r="U543" t="s">
        <v>3348</v>
      </c>
      <c r="V543" t="s">
        <v>43</v>
      </c>
      <c r="Y543" t="s">
        <v>30</v>
      </c>
      <c r="Z543" t="str">
        <f>IF(NOT("https://truemarkets3d.net/3d-virtual-tour/housingbank-realestate/phase3/aq-re-100491/index.html" = ""), HYPERLINK("https://truemarkets3d.net/3d-virtual-tour/housingbank-realestate/phase3/aq-re-100491/index.html", "جولة"), "")</f>
        <v>جولة</v>
      </c>
      <c r="AA543" t="str">
        <f>IF(NOT("https://maps.app.goo.gl/2K8DhtmGr8pKxB687" = ""), HYPERLINK("https://maps.app.goo.gl/2K8DhtmGr8pKxB687", "موقع"), "")</f>
        <v>موقع</v>
      </c>
    </row>
    <row r="544" spans="1:27" x14ac:dyDescent="0.3">
      <c r="A544" t="s">
        <v>1730</v>
      </c>
      <c r="B544" s="8">
        <v>46282.623217592591</v>
      </c>
      <c r="C544" t="s">
        <v>2</v>
      </c>
      <c r="D544" t="s">
        <v>59</v>
      </c>
      <c r="E544" t="s">
        <v>1337</v>
      </c>
      <c r="F544" t="s">
        <v>3376</v>
      </c>
      <c r="G544" t="s">
        <v>21</v>
      </c>
      <c r="H544" t="s">
        <v>1100</v>
      </c>
      <c r="I544" t="s">
        <v>1263</v>
      </c>
      <c r="J544" t="s">
        <v>1335</v>
      </c>
      <c r="K544" t="s">
        <v>1731</v>
      </c>
      <c r="L544">
        <v>132</v>
      </c>
      <c r="M544">
        <v>500</v>
      </c>
      <c r="O544">
        <v>32.031860999999999</v>
      </c>
      <c r="P544">
        <v>35.899667000000001</v>
      </c>
      <c r="Q544" t="s">
        <v>1732</v>
      </c>
      <c r="R544" t="s">
        <v>3538</v>
      </c>
      <c r="S544" t="s">
        <v>2579</v>
      </c>
      <c r="U544" t="s">
        <v>3539</v>
      </c>
      <c r="V544" t="s">
        <v>55</v>
      </c>
      <c r="Y544" t="s">
        <v>30</v>
      </c>
      <c r="Z544" t="str">
        <f>IF(NOT("https://truemarkets3d.net/3d-virtual-tour/housingbank-realestate/phase3/aq-re-100468/index.html" = ""), HYPERLINK("https://truemarkets3d.net/3d-virtual-tour/housingbank-realestate/phase3/aq-re-100468/index.html", "جولة"), "")</f>
        <v>جولة</v>
      </c>
      <c r="AA544" t="str">
        <f>IF(NOT("https://maps.app.goo.gl/BFhbb3xmzC6bCp6G8" = ""), HYPERLINK("https://maps.app.goo.gl/BFhbb3xmzC6bCp6G8", "موقع"), "")</f>
        <v>موقع</v>
      </c>
    </row>
    <row r="545" spans="1:27" x14ac:dyDescent="0.3">
      <c r="A545" t="s">
        <v>1733</v>
      </c>
      <c r="B545" s="8">
        <v>46282.623217592591</v>
      </c>
      <c r="C545" t="s">
        <v>2</v>
      </c>
      <c r="D545" t="s">
        <v>59</v>
      </c>
      <c r="E545" t="s">
        <v>225</v>
      </c>
      <c r="F545" t="s">
        <v>2957</v>
      </c>
      <c r="G545" t="s">
        <v>21</v>
      </c>
      <c r="H545" t="s">
        <v>1100</v>
      </c>
      <c r="I545" t="s">
        <v>1263</v>
      </c>
      <c r="J545" t="s">
        <v>1399</v>
      </c>
      <c r="K545" t="s">
        <v>1548</v>
      </c>
      <c r="L545">
        <v>112</v>
      </c>
      <c r="M545">
        <v>1000</v>
      </c>
      <c r="O545">
        <v>32.017721999999999</v>
      </c>
      <c r="P545">
        <v>35.863943999999996</v>
      </c>
      <c r="Q545" t="s">
        <v>1237</v>
      </c>
      <c r="R545" t="s">
        <v>3347</v>
      </c>
      <c r="S545" t="s">
        <v>2579</v>
      </c>
      <c r="U545" t="s">
        <v>3348</v>
      </c>
      <c r="V545" t="s">
        <v>43</v>
      </c>
      <c r="Y545" t="s">
        <v>30</v>
      </c>
      <c r="Z545" t="str">
        <f>IF(NOT("https://truemarkets3d.net/3d-virtual-tour/housingbank-realestate/phase3/aq-re-100491/index.html" = ""), HYPERLINK("https://truemarkets3d.net/3d-virtual-tour/housingbank-realestate/phase3/aq-re-100491/index.html", "جولة"), "")</f>
        <v>جولة</v>
      </c>
      <c r="AA545" t="str">
        <f>IF(NOT("https://maps.app.goo.gl/2K8DhtmGr8pKxB687" = ""), HYPERLINK("https://maps.app.goo.gl/2K8DhtmGr8pKxB687", "موقع"), "")</f>
        <v>موقع</v>
      </c>
    </row>
    <row r="546" spans="1:27" x14ac:dyDescent="0.3">
      <c r="A546" t="s">
        <v>1734</v>
      </c>
      <c r="B546" s="8">
        <v>46282.623217592591</v>
      </c>
      <c r="C546" t="s">
        <v>2</v>
      </c>
      <c r="D546" t="s">
        <v>59</v>
      </c>
      <c r="E546" t="s">
        <v>1383</v>
      </c>
      <c r="F546" t="s">
        <v>3540</v>
      </c>
      <c r="G546" t="s">
        <v>21</v>
      </c>
      <c r="H546" t="s">
        <v>1100</v>
      </c>
      <c r="I546" t="s">
        <v>1263</v>
      </c>
      <c r="J546" t="s">
        <v>1381</v>
      </c>
      <c r="K546" t="s">
        <v>1382</v>
      </c>
      <c r="L546">
        <v>-111</v>
      </c>
      <c r="M546">
        <v>801</v>
      </c>
      <c r="O546">
        <v>32.002861000000003</v>
      </c>
      <c r="P546">
        <v>35.862250000000003</v>
      </c>
      <c r="Q546" t="s">
        <v>292</v>
      </c>
      <c r="S546" t="s">
        <v>2525</v>
      </c>
      <c r="U546" t="s">
        <v>3256</v>
      </c>
      <c r="V546" t="s">
        <v>33</v>
      </c>
      <c r="Y546" t="s">
        <v>30</v>
      </c>
      <c r="Z546" t="s">
        <v>30</v>
      </c>
      <c r="AA546" t="str">
        <f>IF(NOT("https://maps.app.goo.gl/JTxDjVi5xfoQLkK18" = ""), HYPERLINK("https://maps.app.goo.gl/JTxDjVi5xfoQLkK18", "موقع"), "")</f>
        <v>موقع</v>
      </c>
    </row>
    <row r="547" spans="1:27" x14ac:dyDescent="0.3">
      <c r="A547" t="s">
        <v>1735</v>
      </c>
      <c r="B547" s="8">
        <v>46282.623217592591</v>
      </c>
      <c r="C547" t="s">
        <v>2</v>
      </c>
      <c r="D547" t="s">
        <v>59</v>
      </c>
      <c r="E547" t="s">
        <v>225</v>
      </c>
      <c r="F547" t="s">
        <v>3541</v>
      </c>
      <c r="G547" t="s">
        <v>21</v>
      </c>
      <c r="H547" t="s">
        <v>1100</v>
      </c>
      <c r="I547" t="s">
        <v>1263</v>
      </c>
      <c r="J547" t="s">
        <v>1399</v>
      </c>
      <c r="K547" t="s">
        <v>1548</v>
      </c>
      <c r="L547">
        <v>102</v>
      </c>
      <c r="M547">
        <v>1000</v>
      </c>
      <c r="O547">
        <v>32.017721999999999</v>
      </c>
      <c r="P547">
        <v>35.863943999999996</v>
      </c>
      <c r="Q547" t="s">
        <v>1237</v>
      </c>
      <c r="R547" t="s">
        <v>3347</v>
      </c>
      <c r="S547" t="s">
        <v>2579</v>
      </c>
      <c r="U547" t="s">
        <v>3348</v>
      </c>
      <c r="V547" t="s">
        <v>28</v>
      </c>
      <c r="Y547" t="s">
        <v>30</v>
      </c>
      <c r="Z547" t="str">
        <f>IF(NOT("https://truemarkets3d.net/3d-virtual-tour/housingbank-realestate/phase3/aq-re-100491/index.html" = ""), HYPERLINK("https://truemarkets3d.net/3d-virtual-tour/housingbank-realestate/phase3/aq-re-100491/index.html", "جولة"), "")</f>
        <v>جولة</v>
      </c>
      <c r="AA547" t="str">
        <f>IF(NOT("https://maps.app.goo.gl/2K8DhtmGr8pKxB687" = ""), HYPERLINK("https://maps.app.goo.gl/2K8DhtmGr8pKxB687", "موقع"), "")</f>
        <v>موقع</v>
      </c>
    </row>
    <row r="548" spans="1:27" x14ac:dyDescent="0.3">
      <c r="A548" t="s">
        <v>1736</v>
      </c>
      <c r="B548" s="8">
        <v>46282.623217592591</v>
      </c>
      <c r="C548" t="s">
        <v>2</v>
      </c>
      <c r="D548" t="s">
        <v>59</v>
      </c>
      <c r="E548" t="s">
        <v>1383</v>
      </c>
      <c r="F548" t="s">
        <v>3542</v>
      </c>
      <c r="G548" t="s">
        <v>21</v>
      </c>
      <c r="H548" t="s">
        <v>1100</v>
      </c>
      <c r="I548" t="s">
        <v>1263</v>
      </c>
      <c r="J548" t="s">
        <v>1381</v>
      </c>
      <c r="K548" t="s">
        <v>1382</v>
      </c>
      <c r="L548">
        <v>-112</v>
      </c>
      <c r="M548">
        <v>801</v>
      </c>
      <c r="O548">
        <v>32.002861000000003</v>
      </c>
      <c r="P548">
        <v>35.862250000000003</v>
      </c>
      <c r="Q548" t="s">
        <v>1384</v>
      </c>
      <c r="S548" t="s">
        <v>2525</v>
      </c>
      <c r="U548" t="s">
        <v>3256</v>
      </c>
      <c r="V548" t="s">
        <v>551</v>
      </c>
      <c r="Y548" t="s">
        <v>30</v>
      </c>
      <c r="Z548" t="s">
        <v>30</v>
      </c>
      <c r="AA548" t="str">
        <f>IF(NOT("https://maps.app.goo.gl/JTxDjVi5xfoQLkK18" = ""), HYPERLINK("https://maps.app.goo.gl/JTxDjVi5xfoQLkK18", "موقع"), "")</f>
        <v>موقع</v>
      </c>
    </row>
    <row r="549" spans="1:27" x14ac:dyDescent="0.3">
      <c r="A549" t="s">
        <v>1737</v>
      </c>
      <c r="B549" s="8">
        <v>46282.623217592591</v>
      </c>
      <c r="C549" t="s">
        <v>2</v>
      </c>
      <c r="D549" t="s">
        <v>59</v>
      </c>
      <c r="E549" t="s">
        <v>1740</v>
      </c>
      <c r="F549" t="s">
        <v>3543</v>
      </c>
      <c r="G549" t="s">
        <v>21</v>
      </c>
      <c r="H549" t="s">
        <v>1100</v>
      </c>
      <c r="I549" t="s">
        <v>1143</v>
      </c>
      <c r="J549" t="s">
        <v>1738</v>
      </c>
      <c r="K549" t="s">
        <v>1739</v>
      </c>
      <c r="L549">
        <v>105</v>
      </c>
      <c r="M549">
        <v>577</v>
      </c>
      <c r="O549">
        <v>31.894221999999999</v>
      </c>
      <c r="P549">
        <v>35.927500000000002</v>
      </c>
      <c r="Q549" t="s">
        <v>1332</v>
      </c>
      <c r="S549" t="s">
        <v>2525</v>
      </c>
      <c r="U549" t="s">
        <v>3544</v>
      </c>
      <c r="V549" t="s">
        <v>43</v>
      </c>
      <c r="Y549" t="s">
        <v>30</v>
      </c>
      <c r="Z549" t="s">
        <v>30</v>
      </c>
      <c r="AA549" t="str">
        <f>IF(NOT("https://maps.app.goo.gl/EBgNAYkoMALwkcFm9" = ""), HYPERLINK("https://maps.app.goo.gl/EBgNAYkoMALwkcFm9", "موقع"), "")</f>
        <v>موقع</v>
      </c>
    </row>
    <row r="550" spans="1:27" x14ac:dyDescent="0.3">
      <c r="A550" t="s">
        <v>1741</v>
      </c>
      <c r="B550" s="8">
        <v>46282.623217592591</v>
      </c>
      <c r="C550" t="s">
        <v>2</v>
      </c>
      <c r="D550" t="s">
        <v>59</v>
      </c>
      <c r="E550" t="s">
        <v>1493</v>
      </c>
      <c r="F550" t="s">
        <v>3545</v>
      </c>
      <c r="G550" t="s">
        <v>21</v>
      </c>
      <c r="H550" t="s">
        <v>1100</v>
      </c>
      <c r="I550" t="s">
        <v>1424</v>
      </c>
      <c r="J550" t="s">
        <v>1425</v>
      </c>
      <c r="K550" t="s">
        <v>1492</v>
      </c>
      <c r="L550">
        <v>101</v>
      </c>
      <c r="M550">
        <v>870</v>
      </c>
      <c r="Q550" t="s">
        <v>1560</v>
      </c>
      <c r="R550" t="s">
        <v>3359</v>
      </c>
      <c r="S550" t="s">
        <v>2579</v>
      </c>
      <c r="V550" t="s">
        <v>28</v>
      </c>
      <c r="Y550" t="s">
        <v>30</v>
      </c>
      <c r="Z550" t="str">
        <f>IF(NOT("https://truemarkets3d.net/3d-virtual-tour/housingbank-realestate/phase3/aq-re-100969/index.html" = ""), HYPERLINK("https://truemarkets3d.net/3d-virtual-tour/housingbank-realestate/phase3/aq-re-100969/index.html", "جولة"), "")</f>
        <v>جولة</v>
      </c>
      <c r="AA550" t="s">
        <v>30</v>
      </c>
    </row>
    <row r="551" spans="1:27" x14ac:dyDescent="0.3">
      <c r="A551" t="s">
        <v>1742</v>
      </c>
      <c r="B551" s="8">
        <v>46282.623217592591</v>
      </c>
      <c r="C551" t="s">
        <v>2</v>
      </c>
      <c r="D551" t="s">
        <v>59</v>
      </c>
      <c r="E551" t="s">
        <v>1529</v>
      </c>
      <c r="F551" t="s">
        <v>3546</v>
      </c>
      <c r="G551" t="s">
        <v>21</v>
      </c>
      <c r="H551" t="s">
        <v>1100</v>
      </c>
      <c r="I551" t="s">
        <v>1101</v>
      </c>
      <c r="J551" t="s">
        <v>1102</v>
      </c>
      <c r="K551" t="s">
        <v>1528</v>
      </c>
      <c r="L551">
        <v>112</v>
      </c>
      <c r="M551">
        <v>585</v>
      </c>
      <c r="O551">
        <v>31.971333000000001</v>
      </c>
      <c r="P551">
        <v>35.874389000000001</v>
      </c>
      <c r="Q551" t="s">
        <v>1743</v>
      </c>
      <c r="R551" t="s">
        <v>3547</v>
      </c>
      <c r="S551" t="s">
        <v>2525</v>
      </c>
      <c r="U551" t="s">
        <v>3548</v>
      </c>
      <c r="V551" t="s">
        <v>43</v>
      </c>
      <c r="Y551" t="s">
        <v>30</v>
      </c>
      <c r="Z551" t="str">
        <f>IF(NOT("https://www.true-markets.net/media/360tour/housing-bank/585-112/index.html" = ""), HYPERLINK("https://www.true-markets.net/media/360tour/housing-bank/585-112/index.html", "جولة"), "")</f>
        <v>جولة</v>
      </c>
      <c r="AA551" t="str">
        <f>IF(NOT("https://maps.app.goo.gl/ha7yQqf6mJjpZvor5" = ""), HYPERLINK("https://maps.app.goo.gl/ha7yQqf6mJjpZvor5", "موقع"), "")</f>
        <v>موقع</v>
      </c>
    </row>
    <row r="552" spans="1:27" x14ac:dyDescent="0.3">
      <c r="A552" t="s">
        <v>1744</v>
      </c>
      <c r="B552" s="8">
        <v>46282.623217592591</v>
      </c>
      <c r="C552" t="s">
        <v>2</v>
      </c>
      <c r="D552" t="s">
        <v>59</v>
      </c>
      <c r="E552" t="s">
        <v>1279</v>
      </c>
      <c r="F552" t="s">
        <v>3549</v>
      </c>
      <c r="G552" t="s">
        <v>21</v>
      </c>
      <c r="H552" t="s">
        <v>1100</v>
      </c>
      <c r="I552" t="s">
        <v>1162</v>
      </c>
      <c r="J552" t="s">
        <v>1277</v>
      </c>
      <c r="K552" t="s">
        <v>1326</v>
      </c>
      <c r="L552">
        <v>-103</v>
      </c>
      <c r="M552">
        <v>3129</v>
      </c>
      <c r="O552">
        <v>32.004277999999999</v>
      </c>
      <c r="P552">
        <v>35.932110999999999</v>
      </c>
      <c r="Q552" t="s">
        <v>1745</v>
      </c>
      <c r="S552" t="s">
        <v>2525</v>
      </c>
      <c r="U552" t="s">
        <v>3550</v>
      </c>
      <c r="V552" t="s">
        <v>33</v>
      </c>
      <c r="Y552" t="s">
        <v>30</v>
      </c>
      <c r="Z552" t="s">
        <v>30</v>
      </c>
      <c r="AA552" t="str">
        <f>IF(NOT("https://maps.app.goo.gl/vqvdqEYhMS22T9Ef6" = ""), HYPERLINK("https://maps.app.goo.gl/vqvdqEYhMS22T9Ef6", "موقع"), "")</f>
        <v>موقع</v>
      </c>
    </row>
    <row r="553" spans="1:27" x14ac:dyDescent="0.3">
      <c r="A553" t="s">
        <v>1746</v>
      </c>
      <c r="B553" s="8">
        <v>46282.623217592591</v>
      </c>
      <c r="C553" t="s">
        <v>2</v>
      </c>
      <c r="D553" t="s">
        <v>59</v>
      </c>
      <c r="E553" t="s">
        <v>1463</v>
      </c>
      <c r="F553" t="s">
        <v>3270</v>
      </c>
      <c r="G553" t="s">
        <v>21</v>
      </c>
      <c r="H553" t="s">
        <v>1100</v>
      </c>
      <c r="I553" t="s">
        <v>1263</v>
      </c>
      <c r="J553" t="s">
        <v>1461</v>
      </c>
      <c r="K553" t="s">
        <v>1747</v>
      </c>
      <c r="L553">
        <v>132</v>
      </c>
      <c r="M553">
        <v>1894</v>
      </c>
      <c r="Q553" t="s">
        <v>239</v>
      </c>
      <c r="S553" t="s">
        <v>2525</v>
      </c>
      <c r="V553" t="s">
        <v>55</v>
      </c>
      <c r="Y553" t="s">
        <v>30</v>
      </c>
      <c r="Z553" t="s">
        <v>30</v>
      </c>
      <c r="AA553" t="s">
        <v>30</v>
      </c>
    </row>
    <row r="554" spans="1:27" x14ac:dyDescent="0.3">
      <c r="A554" t="s">
        <v>1748</v>
      </c>
      <c r="B554" s="8">
        <v>46282.623217592591</v>
      </c>
      <c r="C554" t="s">
        <v>2</v>
      </c>
      <c r="D554" t="s">
        <v>59</v>
      </c>
      <c r="E554" t="s">
        <v>1177</v>
      </c>
      <c r="F554" t="s">
        <v>3551</v>
      </c>
      <c r="G554" t="s">
        <v>21</v>
      </c>
      <c r="H554" t="s">
        <v>1100</v>
      </c>
      <c r="I554" t="s">
        <v>1143</v>
      </c>
      <c r="J554" t="s">
        <v>1175</v>
      </c>
      <c r="K554" t="s">
        <v>1749</v>
      </c>
      <c r="L554">
        <v>111</v>
      </c>
      <c r="M554">
        <v>929</v>
      </c>
      <c r="Q554" t="s">
        <v>1750</v>
      </c>
      <c r="S554" t="s">
        <v>2525</v>
      </c>
      <c r="V554" t="s">
        <v>43</v>
      </c>
      <c r="Y554" t="s">
        <v>30</v>
      </c>
      <c r="Z554" t="s">
        <v>30</v>
      </c>
      <c r="AA554" t="s">
        <v>30</v>
      </c>
    </row>
    <row r="555" spans="1:27" x14ac:dyDescent="0.3">
      <c r="A555" t="s">
        <v>1751</v>
      </c>
      <c r="B555" s="8">
        <v>46282.623217592591</v>
      </c>
      <c r="C555" t="s">
        <v>2</v>
      </c>
      <c r="D555" t="s">
        <v>59</v>
      </c>
      <c r="E555" t="s">
        <v>1104</v>
      </c>
      <c r="F555" t="s">
        <v>3552</v>
      </c>
      <c r="G555" t="s">
        <v>21</v>
      </c>
      <c r="H555" t="s">
        <v>1100</v>
      </c>
      <c r="I555" t="s">
        <v>1101</v>
      </c>
      <c r="J555" t="s">
        <v>1102</v>
      </c>
      <c r="K555" t="s">
        <v>1752</v>
      </c>
      <c r="L555">
        <v>111</v>
      </c>
      <c r="M555">
        <v>904</v>
      </c>
      <c r="O555">
        <v>31.976749999999999</v>
      </c>
      <c r="P555">
        <v>35.916888999999998</v>
      </c>
      <c r="Q555" t="s">
        <v>1753</v>
      </c>
      <c r="R555" t="s">
        <v>3553</v>
      </c>
      <c r="S555" t="s">
        <v>2579</v>
      </c>
      <c r="T555" t="s">
        <v>3554</v>
      </c>
      <c r="U555" t="s">
        <v>3555</v>
      </c>
      <c r="V555" t="s">
        <v>43</v>
      </c>
      <c r="Y555" t="s">
        <v>30</v>
      </c>
      <c r="Z555" t="str">
        <f>IF(NOT("https://truemarkets3d.net/3d-virtual-tour/housingbank-realestate/phase3/aq-re-100275/index.html" = ""), HYPERLINK("https://truemarkets3d.net/3d-virtual-tour/housingbank-realestate/phase3/aq-re-100275/index.html", "جولة"), "")</f>
        <v>جولة</v>
      </c>
      <c r="AA555" t="str">
        <f>IF(NOT("https://maps.app.goo.gl/biwVNigx99BKeGWU9" = ""), HYPERLINK("https://maps.app.goo.gl/biwVNigx99BKeGWU9", "موقع"), "")</f>
        <v>موقع</v>
      </c>
    </row>
    <row r="556" spans="1:27" x14ac:dyDescent="0.3">
      <c r="A556" t="s">
        <v>1754</v>
      </c>
      <c r="B556" s="8">
        <v>46282.623217592591</v>
      </c>
      <c r="C556" t="s">
        <v>2</v>
      </c>
      <c r="D556" t="s">
        <v>59</v>
      </c>
      <c r="E556" t="s">
        <v>1279</v>
      </c>
      <c r="F556" t="s">
        <v>3556</v>
      </c>
      <c r="G556" t="s">
        <v>21</v>
      </c>
      <c r="H556" t="s">
        <v>1100</v>
      </c>
      <c r="I556" t="s">
        <v>1162</v>
      </c>
      <c r="J556" t="s">
        <v>1183</v>
      </c>
      <c r="K556" t="s">
        <v>1184</v>
      </c>
      <c r="L556">
        <v>-102</v>
      </c>
      <c r="M556">
        <v>5813</v>
      </c>
      <c r="O556">
        <v>31.984166999999999</v>
      </c>
      <c r="P556">
        <v>35.948833</v>
      </c>
      <c r="Q556" t="s">
        <v>1755</v>
      </c>
      <c r="R556" t="s">
        <v>3557</v>
      </c>
      <c r="S556" t="s">
        <v>2579</v>
      </c>
      <c r="U556" t="s">
        <v>3558</v>
      </c>
      <c r="V556" t="s">
        <v>33</v>
      </c>
      <c r="Y556" t="s">
        <v>30</v>
      </c>
      <c r="Z556" t="str">
        <f>IF(NOT("https://truemarkets3d.net/3d-virtual-tour/housingbank-realestate/phase3/aq-re-100022/index.html" = ""), HYPERLINK("https://truemarkets3d.net/3d-virtual-tour/housingbank-realestate/phase3/aq-re-100022/index.html", "جولة"), "")</f>
        <v>جولة</v>
      </c>
      <c r="AA556" t="str">
        <f>IF(NOT("https://maps.app.goo.gl/YWngCsu8MgHtVo7D6" = ""), HYPERLINK("https://maps.app.goo.gl/YWngCsu8MgHtVo7D6", "موقع"), "")</f>
        <v>موقع</v>
      </c>
    </row>
    <row r="557" spans="1:27" x14ac:dyDescent="0.3">
      <c r="A557" t="s">
        <v>1756</v>
      </c>
      <c r="B557" s="8">
        <v>46282.623217592591</v>
      </c>
      <c r="C557" t="s">
        <v>2</v>
      </c>
      <c r="D557" t="s">
        <v>59</v>
      </c>
      <c r="E557" t="s">
        <v>1383</v>
      </c>
      <c r="F557" t="s">
        <v>3371</v>
      </c>
      <c r="G557" t="s">
        <v>21</v>
      </c>
      <c r="H557" t="s">
        <v>1100</v>
      </c>
      <c r="I557" t="s">
        <v>1263</v>
      </c>
      <c r="J557" t="s">
        <v>1381</v>
      </c>
      <c r="K557" t="s">
        <v>1550</v>
      </c>
      <c r="L557">
        <v>-102</v>
      </c>
      <c r="M557">
        <v>674</v>
      </c>
      <c r="O557">
        <v>31.982666999999999</v>
      </c>
      <c r="P557">
        <v>35.866777999999996</v>
      </c>
      <c r="Q557" t="s">
        <v>1757</v>
      </c>
      <c r="R557" t="s">
        <v>3559</v>
      </c>
      <c r="S557" t="s">
        <v>2579</v>
      </c>
      <c r="U557" t="s">
        <v>3560</v>
      </c>
      <c r="V557" t="s">
        <v>28</v>
      </c>
      <c r="Y557" t="s">
        <v>30</v>
      </c>
      <c r="Z557" t="str">
        <f>IF(NOT("https://truemarkets3d.net/3d-virtual-tour/housingbank-realestate/phase3/aq-re-100461/index.html" = ""), HYPERLINK("https://truemarkets3d.net/3d-virtual-tour/housingbank-realestate/phase3/aq-re-100461/index.html", "جولة"), "")</f>
        <v>جولة</v>
      </c>
      <c r="AA557" t="str">
        <f>IF(NOT("https://maps.app.goo.gl/sNhJ8SdzjYGY7ZRA8" = ""), HYPERLINK("https://maps.app.goo.gl/sNhJ8SdzjYGY7ZRA8", "موقع"), "")</f>
        <v>موقع</v>
      </c>
    </row>
    <row r="558" spans="1:27" x14ac:dyDescent="0.3">
      <c r="A558" t="s">
        <v>1758</v>
      </c>
      <c r="B558" s="8">
        <v>46282.623217592591</v>
      </c>
      <c r="C558" t="s">
        <v>2</v>
      </c>
      <c r="D558" t="s">
        <v>59</v>
      </c>
      <c r="E558" t="s">
        <v>1331</v>
      </c>
      <c r="F558" t="s">
        <v>3371</v>
      </c>
      <c r="G558" t="s">
        <v>21</v>
      </c>
      <c r="H558" t="s">
        <v>1100</v>
      </c>
      <c r="I558" t="s">
        <v>1263</v>
      </c>
      <c r="J558" t="s">
        <v>1329</v>
      </c>
      <c r="K558" t="s">
        <v>1616</v>
      </c>
      <c r="L558">
        <v>-101</v>
      </c>
      <c r="M558">
        <v>733</v>
      </c>
      <c r="Q558" t="s">
        <v>1494</v>
      </c>
      <c r="R558" t="s">
        <v>3561</v>
      </c>
      <c r="S558" t="s">
        <v>2579</v>
      </c>
      <c r="T558" t="s">
        <v>3562</v>
      </c>
      <c r="V558" t="s">
        <v>33</v>
      </c>
      <c r="Y558" t="s">
        <v>30</v>
      </c>
      <c r="Z558" t="str">
        <f>IF(NOT("https://truemarkets3d.net/3d-virtual-tour/housingbank-realestate/phase3/aq-re-100465/index.html" = ""), HYPERLINK("https://truemarkets3d.net/3d-virtual-tour/housingbank-realestate/phase3/aq-re-100465/index.html", "جولة"), "")</f>
        <v>جولة</v>
      </c>
      <c r="AA558" t="s">
        <v>30</v>
      </c>
    </row>
    <row r="559" spans="1:27" x14ac:dyDescent="0.3">
      <c r="A559" t="s">
        <v>1759</v>
      </c>
      <c r="B559" s="8">
        <v>46282.623217592591</v>
      </c>
      <c r="C559" t="s">
        <v>2</v>
      </c>
      <c r="D559" t="s">
        <v>59</v>
      </c>
      <c r="E559" t="s">
        <v>225</v>
      </c>
      <c r="F559" t="s">
        <v>3563</v>
      </c>
      <c r="G559" t="s">
        <v>21</v>
      </c>
      <c r="H559" t="s">
        <v>1100</v>
      </c>
      <c r="I559" t="s">
        <v>1263</v>
      </c>
      <c r="J559" t="s">
        <v>1399</v>
      </c>
      <c r="K559" t="s">
        <v>1548</v>
      </c>
      <c r="L559">
        <v>-102</v>
      </c>
      <c r="M559">
        <v>1000</v>
      </c>
      <c r="O559">
        <v>32.017721999999999</v>
      </c>
      <c r="P559">
        <v>35.863943999999996</v>
      </c>
      <c r="Q559" t="s">
        <v>1660</v>
      </c>
      <c r="R559" t="s">
        <v>3347</v>
      </c>
      <c r="S559" t="s">
        <v>2579</v>
      </c>
      <c r="U559" t="s">
        <v>3348</v>
      </c>
      <c r="V559" t="s">
        <v>28</v>
      </c>
      <c r="Y559" t="s">
        <v>30</v>
      </c>
      <c r="Z559" t="str">
        <f>IF(NOT("https://truemarkets3d.net/3d-virtual-tour/housingbank-realestate/phase3/aq-re-100491/index.html" = ""), HYPERLINK("https://truemarkets3d.net/3d-virtual-tour/housingbank-realestate/phase3/aq-re-100491/index.html", "جولة"), "")</f>
        <v>جولة</v>
      </c>
      <c r="AA559" t="str">
        <f>IF(NOT("https://maps.app.goo.gl/2K8DhtmGr8pKxB687" = ""), HYPERLINK("https://maps.app.goo.gl/2K8DhtmGr8pKxB687", "موقع"), "")</f>
        <v>موقع</v>
      </c>
    </row>
    <row r="560" spans="1:27" x14ac:dyDescent="0.3">
      <c r="A560" t="s">
        <v>1760</v>
      </c>
      <c r="B560" s="8">
        <v>46282.623217592591</v>
      </c>
      <c r="C560" t="s">
        <v>2</v>
      </c>
      <c r="D560" t="s">
        <v>59</v>
      </c>
      <c r="E560" t="s">
        <v>1279</v>
      </c>
      <c r="F560" t="s">
        <v>3564</v>
      </c>
      <c r="G560" t="s">
        <v>21</v>
      </c>
      <c r="H560" t="s">
        <v>1100</v>
      </c>
      <c r="I560" t="s">
        <v>1162</v>
      </c>
      <c r="J560" t="s">
        <v>1277</v>
      </c>
      <c r="K560" t="s">
        <v>1278</v>
      </c>
      <c r="L560">
        <v>101</v>
      </c>
      <c r="M560">
        <v>1333</v>
      </c>
      <c r="O560">
        <v>32.003749999999997</v>
      </c>
      <c r="P560">
        <v>35.967167000000003</v>
      </c>
      <c r="Q560" t="s">
        <v>191</v>
      </c>
      <c r="S560" t="s">
        <v>2525</v>
      </c>
      <c r="U560" t="s">
        <v>3565</v>
      </c>
      <c r="V560" t="s">
        <v>28</v>
      </c>
      <c r="Y560" t="s">
        <v>30</v>
      </c>
      <c r="Z560" t="s">
        <v>30</v>
      </c>
      <c r="AA560" t="str">
        <f>IF(NOT("https://maps.app.goo.gl/Zaxtjn38TEics4Gn9" = ""), HYPERLINK("https://maps.app.goo.gl/Zaxtjn38TEics4Gn9", "موقع"), "")</f>
        <v>موقع</v>
      </c>
    </row>
    <row r="561" spans="1:27" x14ac:dyDescent="0.3">
      <c r="A561" t="s">
        <v>1761</v>
      </c>
      <c r="B561" s="8">
        <v>46282.623217592591</v>
      </c>
      <c r="C561" t="s">
        <v>2</v>
      </c>
      <c r="D561" t="s">
        <v>59</v>
      </c>
      <c r="E561" t="s">
        <v>1524</v>
      </c>
      <c r="F561" t="s">
        <v>3566</v>
      </c>
      <c r="G561" t="s">
        <v>21</v>
      </c>
      <c r="H561" t="s">
        <v>1100</v>
      </c>
      <c r="I561" t="s">
        <v>1424</v>
      </c>
      <c r="J561" t="s">
        <v>1425</v>
      </c>
      <c r="K561" t="s">
        <v>1523</v>
      </c>
      <c r="L561">
        <v>131</v>
      </c>
      <c r="M561">
        <v>396</v>
      </c>
      <c r="O561">
        <v>31.953444000000001</v>
      </c>
      <c r="P561">
        <v>35.869777999999997</v>
      </c>
      <c r="Q561" t="s">
        <v>1762</v>
      </c>
      <c r="R561" t="s">
        <v>3567</v>
      </c>
      <c r="S561" t="s">
        <v>2579</v>
      </c>
      <c r="U561" t="s">
        <v>3568</v>
      </c>
      <c r="V561" t="s">
        <v>55</v>
      </c>
      <c r="Y561" t="s">
        <v>30</v>
      </c>
      <c r="Z561" t="str">
        <f>IF(NOT("https://www.true-markets.net/media/360tour/housing-bank/396-131/index.html" = ""), HYPERLINK("https://www.true-markets.net/media/360tour/housing-bank/396-131/index.html", "جولة"), "")</f>
        <v>جولة</v>
      </c>
      <c r="AA561" t="str">
        <f>IF(NOT("https://maps.app.goo.gl/NiPoAdmQaGX8qdnC7" = ""), HYPERLINK("https://maps.app.goo.gl/NiPoAdmQaGX8qdnC7", "موقع"), "")</f>
        <v>موقع</v>
      </c>
    </row>
    <row r="562" spans="1:27" x14ac:dyDescent="0.3">
      <c r="A562" t="s">
        <v>1763</v>
      </c>
      <c r="B562" s="8">
        <v>46282.623217592591</v>
      </c>
      <c r="C562" t="s">
        <v>2</v>
      </c>
      <c r="D562" t="s">
        <v>1764</v>
      </c>
      <c r="E562" t="s">
        <v>1383</v>
      </c>
      <c r="F562" t="s">
        <v>3569</v>
      </c>
      <c r="G562" t="s">
        <v>21</v>
      </c>
      <c r="H562" t="s">
        <v>1100</v>
      </c>
      <c r="I562" t="s">
        <v>1263</v>
      </c>
      <c r="J562" t="s">
        <v>1381</v>
      </c>
      <c r="K562" t="s">
        <v>1382</v>
      </c>
      <c r="L562">
        <v>121</v>
      </c>
      <c r="M562">
        <v>1394</v>
      </c>
      <c r="N562">
        <v>65000</v>
      </c>
      <c r="O562">
        <v>32.006833</v>
      </c>
      <c r="P562">
        <v>35.864860999999998</v>
      </c>
      <c r="Q562" t="s">
        <v>92</v>
      </c>
      <c r="R562" t="s">
        <v>3570</v>
      </c>
      <c r="S562" t="s">
        <v>2579</v>
      </c>
      <c r="T562" t="s">
        <v>3571</v>
      </c>
      <c r="U562" t="s">
        <v>3572</v>
      </c>
      <c r="V562" t="s">
        <v>73</v>
      </c>
      <c r="W562" t="s">
        <v>1765</v>
      </c>
      <c r="X562" t="s">
        <v>3573</v>
      </c>
      <c r="Y562" t="str">
        <f>IF(NOT("https://youtu.be/gbi_PajVXgo" = ""), HYPERLINK("https://youtu.be/gbi_PajVXgo", "فيديو"), "")</f>
        <v>فيديو</v>
      </c>
      <c r="Z562" t="str">
        <f>IF(NOT("https://truemarkets3d.net/3d-virtual-tour/housingbank-realestate/phase3/aq-re-100536/index.html" = ""), HYPERLINK("https://truemarkets3d.net/3d-virtual-tour/housingbank-realestate/phase3/aq-re-100536/index.html", "جولة"), "")</f>
        <v>جولة</v>
      </c>
      <c r="AA562" t="str">
        <f>IF(NOT("https://maps.app.goo.gl/LPC5QooR1YJtXR6eA" = ""), HYPERLINK("https://maps.app.goo.gl/LPC5QooR1YJtXR6eA", "موقع"), "")</f>
        <v>موقع</v>
      </c>
    </row>
    <row r="563" spans="1:27" x14ac:dyDescent="0.3">
      <c r="A563" t="s">
        <v>1766</v>
      </c>
      <c r="B563" s="8">
        <v>46282.623217592591</v>
      </c>
      <c r="C563" t="s">
        <v>2</v>
      </c>
      <c r="D563" t="s">
        <v>1764</v>
      </c>
      <c r="E563" t="s">
        <v>1279</v>
      </c>
      <c r="F563" t="s">
        <v>3574</v>
      </c>
      <c r="G563" t="s">
        <v>21</v>
      </c>
      <c r="H563" t="s">
        <v>1100</v>
      </c>
      <c r="I563" t="s">
        <v>1162</v>
      </c>
      <c r="J563" t="s">
        <v>1277</v>
      </c>
      <c r="K563" t="s">
        <v>1326</v>
      </c>
      <c r="L563">
        <v>104</v>
      </c>
      <c r="M563">
        <v>3519</v>
      </c>
      <c r="O563">
        <v>32.014583000000002</v>
      </c>
      <c r="P563">
        <v>35.940027999999998</v>
      </c>
      <c r="Q563" t="s">
        <v>1767</v>
      </c>
      <c r="R563" t="s">
        <v>3575</v>
      </c>
      <c r="S563" t="s">
        <v>2579</v>
      </c>
      <c r="U563" t="s">
        <v>3576</v>
      </c>
      <c r="V563" t="s">
        <v>28</v>
      </c>
      <c r="Y563" t="s">
        <v>30</v>
      </c>
      <c r="Z563" t="str">
        <f>IF(NOT("https://www.true-markets.net/media/360tour/housing-bank/3519-104/index.html" = ""), HYPERLINK("https://www.true-markets.net/media/360tour/housing-bank/3519-104/index.html", "جولة"), "")</f>
        <v>جولة</v>
      </c>
      <c r="AA563" t="str">
        <f>IF(NOT("https://maps.app.goo.gl/W8PqBKzzpa3bNrRk7" = ""), HYPERLINK("https://maps.app.goo.gl/W8PqBKzzpa3bNrRk7", "موقع"), "")</f>
        <v>موقع</v>
      </c>
    </row>
    <row r="564" spans="1:27" x14ac:dyDescent="0.3">
      <c r="A564" t="s">
        <v>1768</v>
      </c>
      <c r="B564" s="8">
        <v>46282.623217592591</v>
      </c>
      <c r="C564" t="s">
        <v>2</v>
      </c>
      <c r="D564" t="s">
        <v>1764</v>
      </c>
      <c r="E564" t="s">
        <v>1519</v>
      </c>
      <c r="F564" t="s">
        <v>3577</v>
      </c>
      <c r="G564" t="s">
        <v>21</v>
      </c>
      <c r="H564" t="s">
        <v>1100</v>
      </c>
      <c r="I564" t="s">
        <v>1101</v>
      </c>
      <c r="J564" t="s">
        <v>1102</v>
      </c>
      <c r="K564" t="s">
        <v>1518</v>
      </c>
      <c r="L564">
        <v>102</v>
      </c>
      <c r="M564">
        <v>1823</v>
      </c>
      <c r="O564">
        <v>31.981694000000001</v>
      </c>
      <c r="P564">
        <v>35.917166999999999</v>
      </c>
      <c r="Q564" t="s">
        <v>1568</v>
      </c>
      <c r="R564" t="s">
        <v>3578</v>
      </c>
      <c r="S564" t="s">
        <v>2579</v>
      </c>
      <c r="U564" t="s">
        <v>3579</v>
      </c>
      <c r="V564" t="s">
        <v>28</v>
      </c>
      <c r="Y564" t="s">
        <v>30</v>
      </c>
      <c r="Z564" t="str">
        <f>IF(NOT("https://truemarkets3d.net/3d-virtual-tour/housingbank-realestate/phase3/aq-re-100274/index.html" = ""), HYPERLINK("https://truemarkets3d.net/3d-virtual-tour/housingbank-realestate/phase3/aq-re-100274/index.html", "جولة"), "")</f>
        <v>جولة</v>
      </c>
      <c r="AA564" t="str">
        <f>IF(NOT("https://maps.app.goo.gl/39meozV8myjdN2mA8" = ""), HYPERLINK("https://maps.app.goo.gl/39meozV8myjdN2mA8", "موقع"), "")</f>
        <v>موقع</v>
      </c>
    </row>
    <row r="565" spans="1:27" x14ac:dyDescent="0.3">
      <c r="A565" t="s">
        <v>1769</v>
      </c>
      <c r="B565" s="8">
        <v>46282.623217592591</v>
      </c>
      <c r="C565" t="s">
        <v>2</v>
      </c>
      <c r="D565" t="s">
        <v>1764</v>
      </c>
      <c r="E565" t="s">
        <v>1331</v>
      </c>
      <c r="F565" t="s">
        <v>3580</v>
      </c>
      <c r="G565" t="s">
        <v>21</v>
      </c>
      <c r="H565" t="s">
        <v>1100</v>
      </c>
      <c r="I565" t="s">
        <v>1263</v>
      </c>
      <c r="J565" t="s">
        <v>1335</v>
      </c>
      <c r="K565" t="s">
        <v>1581</v>
      </c>
      <c r="L565">
        <v>-101</v>
      </c>
      <c r="M565">
        <v>579</v>
      </c>
      <c r="O565">
        <v>32.015138999999998</v>
      </c>
      <c r="P565">
        <v>35.888249999999999</v>
      </c>
      <c r="Q565" t="s">
        <v>1770</v>
      </c>
      <c r="R565" t="s">
        <v>3581</v>
      </c>
      <c r="S565" t="s">
        <v>2579</v>
      </c>
      <c r="T565" t="s">
        <v>3582</v>
      </c>
      <c r="U565" t="s">
        <v>3583</v>
      </c>
      <c r="V565" t="s">
        <v>28</v>
      </c>
      <c r="Y565" t="s">
        <v>30</v>
      </c>
      <c r="Z565" t="str">
        <f>IF(NOT("https://truemarkets3d.net/3d-virtual-tour/housingbank-realestate/phase3/aq-re-100693/index.html" = ""), HYPERLINK("https://truemarkets3d.net/3d-virtual-tour/housingbank-realestate/phase3/aq-re-100693/index.html", "جولة"), "")</f>
        <v>جولة</v>
      </c>
      <c r="AA565" t="str">
        <f>IF(NOT("https://maps.app.goo.gl/h49kf4ASkBVqbaWg9" = ""), HYPERLINK("https://maps.app.goo.gl/h49kf4ASkBVqbaWg9", "موقع"), "")</f>
        <v>موقع</v>
      </c>
    </row>
    <row r="566" spans="1:27" x14ac:dyDescent="0.3">
      <c r="A566" t="s">
        <v>1771</v>
      </c>
      <c r="B566" s="8">
        <v>46282.623217592591</v>
      </c>
      <c r="C566" t="s">
        <v>2</v>
      </c>
      <c r="D566" t="s">
        <v>297</v>
      </c>
      <c r="E566" t="s">
        <v>1489</v>
      </c>
      <c r="F566" t="s">
        <v>3584</v>
      </c>
      <c r="G566" t="s">
        <v>296</v>
      </c>
      <c r="H566" t="s">
        <v>1100</v>
      </c>
      <c r="I566" t="s">
        <v>1472</v>
      </c>
      <c r="J566" t="s">
        <v>1473</v>
      </c>
      <c r="K566" t="s">
        <v>1704</v>
      </c>
      <c r="L566">
        <v>0</v>
      </c>
      <c r="M566">
        <v>83</v>
      </c>
      <c r="O566">
        <v>31.902305999999999</v>
      </c>
      <c r="P566">
        <v>35.851972000000004</v>
      </c>
      <c r="Q566" t="s">
        <v>1772</v>
      </c>
      <c r="R566" t="s">
        <v>3585</v>
      </c>
      <c r="S566" t="s">
        <v>2579</v>
      </c>
      <c r="U566" t="s">
        <v>3586</v>
      </c>
      <c r="Y566" t="s">
        <v>30</v>
      </c>
      <c r="Z566" t="str">
        <f>IF(NOT("https://truemarkets3d.net/3d-virtual-tour/housingbank-realestate/phase3/aq-bld-100596/index.html" = ""), HYPERLINK("https://truemarkets3d.net/3d-virtual-tour/housingbank-realestate/phase3/aq-bld-100596/index.html", "جولة"), "")</f>
        <v>جولة</v>
      </c>
      <c r="AA566" t="str">
        <f>IF(NOT("https://maps.app.goo.gl/ut7kx4iH4qQcehx6A" = ""), HYPERLINK("https://maps.app.goo.gl/ut7kx4iH4qQcehx6A", "موقع"), "")</f>
        <v>موقع</v>
      </c>
    </row>
    <row r="567" spans="1:27" x14ac:dyDescent="0.3">
      <c r="A567" t="s">
        <v>1773</v>
      </c>
      <c r="B567" s="8">
        <v>46282.623217592591</v>
      </c>
      <c r="C567" t="s">
        <v>2</v>
      </c>
      <c r="D567" t="s">
        <v>297</v>
      </c>
      <c r="E567" t="s">
        <v>1524</v>
      </c>
      <c r="F567" t="s">
        <v>3587</v>
      </c>
      <c r="G567" t="s">
        <v>296</v>
      </c>
      <c r="H567" t="s">
        <v>1100</v>
      </c>
      <c r="I567" t="s">
        <v>1424</v>
      </c>
      <c r="J567" t="s">
        <v>1425</v>
      </c>
      <c r="K567" t="s">
        <v>1523</v>
      </c>
      <c r="L567">
        <v>0</v>
      </c>
      <c r="M567">
        <v>3083</v>
      </c>
      <c r="O567">
        <v>31.956389000000001</v>
      </c>
      <c r="P567">
        <v>35.859471999999997</v>
      </c>
      <c r="Q567" t="s">
        <v>1774</v>
      </c>
      <c r="R567" t="s">
        <v>3588</v>
      </c>
      <c r="S567" t="s">
        <v>2579</v>
      </c>
      <c r="U567" t="s">
        <v>3589</v>
      </c>
      <c r="Y567" t="s">
        <v>30</v>
      </c>
      <c r="Z567" t="str">
        <f>IF(NOT("https://truemarkets3d.net/3d-virtual-tour/housingbank-realestate/phase3/aq-bld-100409/index.html" = ""), HYPERLINK("https://truemarkets3d.net/3d-virtual-tour/housingbank-realestate/phase3/aq-bld-100409/index.html", "جولة"), "")</f>
        <v>جولة</v>
      </c>
      <c r="AA567" t="str">
        <f>IF(NOT("https://maps.app.goo.gl/zaWwSAaRrSgHC3Eq7" = ""), HYPERLINK("https://maps.app.goo.gl/zaWwSAaRrSgHC3Eq7", "موقع"), "")</f>
        <v>موقع</v>
      </c>
    </row>
    <row r="568" spans="1:27" x14ac:dyDescent="0.3">
      <c r="A568" t="s">
        <v>1775</v>
      </c>
      <c r="B568" s="8">
        <v>46282.623217592591</v>
      </c>
      <c r="C568" t="s">
        <v>2</v>
      </c>
      <c r="D568" t="s">
        <v>315</v>
      </c>
      <c r="E568" t="s">
        <v>1171</v>
      </c>
      <c r="F568" t="s">
        <v>3590</v>
      </c>
      <c r="G568" t="s">
        <v>296</v>
      </c>
      <c r="H568" t="s">
        <v>1100</v>
      </c>
      <c r="I568" t="s">
        <v>1168</v>
      </c>
      <c r="J568" t="s">
        <v>1240</v>
      </c>
      <c r="K568" t="s">
        <v>1776</v>
      </c>
      <c r="L568">
        <v>0</v>
      </c>
      <c r="M568">
        <v>713</v>
      </c>
      <c r="N568">
        <v>16000</v>
      </c>
      <c r="Q568" t="s">
        <v>1777</v>
      </c>
      <c r="S568" t="s">
        <v>2525</v>
      </c>
      <c r="W568" t="s">
        <v>1778</v>
      </c>
      <c r="Y568" t="s">
        <v>30</v>
      </c>
      <c r="Z568" t="s">
        <v>30</v>
      </c>
      <c r="AA568" t="s">
        <v>30</v>
      </c>
    </row>
    <row r="569" spans="1:27" x14ac:dyDescent="0.3">
      <c r="A569" t="s">
        <v>1779</v>
      </c>
      <c r="B569" s="8">
        <v>46282.623217592591</v>
      </c>
      <c r="C569" t="s">
        <v>2</v>
      </c>
      <c r="D569" t="s">
        <v>315</v>
      </c>
      <c r="E569" t="s">
        <v>1780</v>
      </c>
      <c r="F569" t="s">
        <v>3591</v>
      </c>
      <c r="G569" t="s">
        <v>296</v>
      </c>
      <c r="H569" t="s">
        <v>1100</v>
      </c>
      <c r="I569" t="s">
        <v>1101</v>
      </c>
      <c r="J569" t="s">
        <v>1102</v>
      </c>
      <c r="K569" t="s">
        <v>1119</v>
      </c>
      <c r="L569">
        <v>0</v>
      </c>
      <c r="M569">
        <v>318</v>
      </c>
      <c r="N569">
        <v>18000</v>
      </c>
      <c r="O569">
        <v>31.939610999999999</v>
      </c>
      <c r="P569">
        <v>35.930500000000002</v>
      </c>
      <c r="Q569" t="s">
        <v>1466</v>
      </c>
      <c r="S569" t="s">
        <v>2525</v>
      </c>
      <c r="U569" t="s">
        <v>3592</v>
      </c>
      <c r="W569" t="s">
        <v>1781</v>
      </c>
      <c r="Y569" t="s">
        <v>30</v>
      </c>
      <c r="Z569" t="s">
        <v>30</v>
      </c>
      <c r="AA569" t="str">
        <f>IF(NOT("https://maps.app.goo.gl/qJ2N4seNzMWjiszC6" = ""), HYPERLINK("https://maps.app.goo.gl/qJ2N4seNzMWjiszC6", "موقع"), "")</f>
        <v>موقع</v>
      </c>
    </row>
    <row r="570" spans="1:27" x14ac:dyDescent="0.3">
      <c r="A570" t="s">
        <v>1782</v>
      </c>
      <c r="B570" s="8">
        <v>46282.623217592591</v>
      </c>
      <c r="C570" t="s">
        <v>2</v>
      </c>
      <c r="D570" t="s">
        <v>315</v>
      </c>
      <c r="E570" t="s">
        <v>1357</v>
      </c>
      <c r="F570" t="s">
        <v>3593</v>
      </c>
      <c r="G570" t="s">
        <v>296</v>
      </c>
      <c r="H570" t="s">
        <v>1100</v>
      </c>
      <c r="I570" t="s">
        <v>1143</v>
      </c>
      <c r="J570" t="s">
        <v>1153</v>
      </c>
      <c r="K570" t="s">
        <v>1356</v>
      </c>
      <c r="M570">
        <v>2554</v>
      </c>
      <c r="N570">
        <v>19000</v>
      </c>
      <c r="Q570" t="s">
        <v>850</v>
      </c>
      <c r="S570" t="s">
        <v>2525</v>
      </c>
      <c r="W570" t="s">
        <v>1783</v>
      </c>
      <c r="Y570" t="s">
        <v>30</v>
      </c>
      <c r="Z570" t="s">
        <v>30</v>
      </c>
      <c r="AA570" t="s">
        <v>30</v>
      </c>
    </row>
    <row r="571" spans="1:27" x14ac:dyDescent="0.3">
      <c r="A571" t="s">
        <v>1784</v>
      </c>
      <c r="B571" s="8">
        <v>46282.623217592591</v>
      </c>
      <c r="C571" t="s">
        <v>2</v>
      </c>
      <c r="D571" t="s">
        <v>315</v>
      </c>
      <c r="E571" t="s">
        <v>1254</v>
      </c>
      <c r="F571" t="s">
        <v>3594</v>
      </c>
      <c r="G571" t="s">
        <v>296</v>
      </c>
      <c r="H571" t="s">
        <v>1100</v>
      </c>
      <c r="I571" t="s">
        <v>1162</v>
      </c>
      <c r="J571" t="s">
        <v>1163</v>
      </c>
      <c r="K571" t="s">
        <v>1189</v>
      </c>
      <c r="L571">
        <v>0</v>
      </c>
      <c r="M571">
        <v>2070</v>
      </c>
      <c r="N571">
        <v>45000</v>
      </c>
      <c r="O571">
        <v>31.94275</v>
      </c>
      <c r="P571">
        <v>36.005082999999999</v>
      </c>
      <c r="Q571" t="s">
        <v>1785</v>
      </c>
      <c r="S571" t="s">
        <v>2525</v>
      </c>
      <c r="U571" t="s">
        <v>3595</v>
      </c>
      <c r="W571" t="s">
        <v>1786</v>
      </c>
      <c r="Y571" t="s">
        <v>30</v>
      </c>
      <c r="Z571" t="s">
        <v>30</v>
      </c>
      <c r="AA571" t="str">
        <f>IF(NOT("https://maps.app.goo.gl/1fGamv9TH4bXjKAZ7" = ""), HYPERLINK("https://maps.app.goo.gl/1fGamv9TH4bXjKAZ7", "موقع"), "")</f>
        <v>موقع</v>
      </c>
    </row>
    <row r="572" spans="1:27" x14ac:dyDescent="0.3">
      <c r="A572" t="s">
        <v>1787</v>
      </c>
      <c r="B572" s="8">
        <v>46282.623217592591</v>
      </c>
      <c r="C572" t="s">
        <v>2</v>
      </c>
      <c r="D572" t="s">
        <v>315</v>
      </c>
      <c r="E572" t="s">
        <v>1790</v>
      </c>
      <c r="F572" t="s">
        <v>3596</v>
      </c>
      <c r="G572" t="s">
        <v>296</v>
      </c>
      <c r="H572" t="s">
        <v>1100</v>
      </c>
      <c r="I572" t="s">
        <v>1162</v>
      </c>
      <c r="J572" t="s">
        <v>1788</v>
      </c>
      <c r="K572" t="s">
        <v>1789</v>
      </c>
      <c r="L572">
        <v>0</v>
      </c>
      <c r="M572">
        <v>1260</v>
      </c>
      <c r="N572">
        <v>88000</v>
      </c>
      <c r="O572">
        <v>31.922917000000002</v>
      </c>
      <c r="P572">
        <v>36.059832999999998</v>
      </c>
      <c r="Q572" t="s">
        <v>1791</v>
      </c>
      <c r="R572" t="s">
        <v>3597</v>
      </c>
      <c r="S572" t="s">
        <v>2579</v>
      </c>
      <c r="U572" t="s">
        <v>3598</v>
      </c>
      <c r="W572" t="s">
        <v>1792</v>
      </c>
      <c r="Y572" t="s">
        <v>30</v>
      </c>
      <c r="Z572" t="str">
        <f>IF(NOT("https://truemarkets3d.net/3d-virtual-tour/housingbank-realestate/phase3/aq-bld-100472/index.html" = ""), HYPERLINK("https://truemarkets3d.net/3d-virtual-tour/housingbank-realestate/phase3/aq-bld-100472/index.html", "جولة"), "")</f>
        <v>جولة</v>
      </c>
      <c r="AA572" t="str">
        <f>IF(NOT("https://maps.app.goo.gl/kCTXZ2VJm3L2ca5e7" = ""), HYPERLINK("https://maps.app.goo.gl/kCTXZ2VJm3L2ca5e7", "موقع"), "")</f>
        <v>موقع</v>
      </c>
    </row>
    <row r="573" spans="1:27" x14ac:dyDescent="0.3">
      <c r="A573" t="s">
        <v>1793</v>
      </c>
      <c r="B573" s="8">
        <v>46282.623217592591</v>
      </c>
      <c r="C573" t="s">
        <v>2</v>
      </c>
      <c r="D573" t="s">
        <v>315</v>
      </c>
      <c r="E573" t="s">
        <v>1171</v>
      </c>
      <c r="F573" t="s">
        <v>3599</v>
      </c>
      <c r="G573" t="s">
        <v>296</v>
      </c>
      <c r="H573" t="s">
        <v>1100</v>
      </c>
      <c r="I573" t="s">
        <v>1168</v>
      </c>
      <c r="J573" t="s">
        <v>1794</v>
      </c>
      <c r="K573" t="s">
        <v>1795</v>
      </c>
      <c r="L573">
        <v>0</v>
      </c>
      <c r="M573">
        <v>102</v>
      </c>
      <c r="N573">
        <v>100000</v>
      </c>
      <c r="O573">
        <v>31.832944000000001</v>
      </c>
      <c r="P573">
        <v>36.000250000000001</v>
      </c>
      <c r="Q573" t="s">
        <v>1796</v>
      </c>
      <c r="S573" t="s">
        <v>2525</v>
      </c>
      <c r="U573" t="s">
        <v>3600</v>
      </c>
      <c r="W573" t="s">
        <v>1797</v>
      </c>
      <c r="Y573" t="s">
        <v>30</v>
      </c>
      <c r="Z573" t="s">
        <v>30</v>
      </c>
      <c r="AA573" t="str">
        <f>IF(NOT("https://maps.app.goo.gl/coieZUwdi4zRHJkZ8" = ""), HYPERLINK("https://maps.app.goo.gl/coieZUwdi4zRHJkZ8", "موقع"), "")</f>
        <v>موقع</v>
      </c>
    </row>
    <row r="574" spans="1:27" x14ac:dyDescent="0.3">
      <c r="A574" t="s">
        <v>1798</v>
      </c>
      <c r="B574" s="8">
        <v>46282.623217592591</v>
      </c>
      <c r="C574" t="s">
        <v>2</v>
      </c>
      <c r="D574" t="s">
        <v>315</v>
      </c>
      <c r="E574" t="s">
        <v>1209</v>
      </c>
      <c r="F574" t="s">
        <v>3601</v>
      </c>
      <c r="G574" t="s">
        <v>296</v>
      </c>
      <c r="H574" t="s">
        <v>1100</v>
      </c>
      <c r="I574" t="s">
        <v>1143</v>
      </c>
      <c r="J574" t="s">
        <v>1153</v>
      </c>
      <c r="K574" t="s">
        <v>1411</v>
      </c>
      <c r="L574">
        <v>0</v>
      </c>
      <c r="M574">
        <v>1178</v>
      </c>
      <c r="N574">
        <v>106000</v>
      </c>
      <c r="O574">
        <v>31.905332999999999</v>
      </c>
      <c r="P574">
        <v>35.946193999999998</v>
      </c>
      <c r="Q574" t="s">
        <v>1061</v>
      </c>
      <c r="S574" t="s">
        <v>2525</v>
      </c>
      <c r="U574" t="s">
        <v>3602</v>
      </c>
      <c r="W574" t="s">
        <v>1799</v>
      </c>
      <c r="Y574" t="s">
        <v>30</v>
      </c>
      <c r="Z574" t="s">
        <v>30</v>
      </c>
      <c r="AA574" t="str">
        <f>IF(NOT("https://maps.app.goo.gl/WvAi5SX7Mp81g2B66" = ""), HYPERLINK("https://maps.app.goo.gl/WvAi5SX7Mp81g2B66", "موقع"), "")</f>
        <v>موقع</v>
      </c>
    </row>
    <row r="575" spans="1:27" x14ac:dyDescent="0.3">
      <c r="A575" t="s">
        <v>1800</v>
      </c>
      <c r="B575" s="8">
        <v>46282.623217592591</v>
      </c>
      <c r="C575" t="s">
        <v>2</v>
      </c>
      <c r="D575" t="s">
        <v>315</v>
      </c>
      <c r="E575" t="s">
        <v>1803</v>
      </c>
      <c r="F575" t="s">
        <v>3603</v>
      </c>
      <c r="G575" t="s">
        <v>296</v>
      </c>
      <c r="H575" t="s">
        <v>1100</v>
      </c>
      <c r="I575" t="s">
        <v>1143</v>
      </c>
      <c r="J575" t="s">
        <v>1801</v>
      </c>
      <c r="K575" t="s">
        <v>1802</v>
      </c>
      <c r="L575">
        <v>0</v>
      </c>
      <c r="M575">
        <v>754</v>
      </c>
      <c r="N575">
        <v>133000</v>
      </c>
      <c r="Q575" t="s">
        <v>1804</v>
      </c>
      <c r="S575" t="s">
        <v>2525</v>
      </c>
      <c r="W575" t="s">
        <v>1805</v>
      </c>
      <c r="Y575" t="s">
        <v>30</v>
      </c>
      <c r="Z575" t="s">
        <v>30</v>
      </c>
      <c r="AA575" t="s">
        <v>30</v>
      </c>
    </row>
    <row r="576" spans="1:27" x14ac:dyDescent="0.3">
      <c r="A576" t="s">
        <v>1806</v>
      </c>
      <c r="B576" s="8">
        <v>46282.623217592591</v>
      </c>
      <c r="C576" t="s">
        <v>2</v>
      </c>
      <c r="D576" t="s">
        <v>315</v>
      </c>
      <c r="E576" t="s">
        <v>1342</v>
      </c>
      <c r="F576" t="s">
        <v>3604</v>
      </c>
      <c r="G576" t="s">
        <v>296</v>
      </c>
      <c r="H576" t="s">
        <v>1100</v>
      </c>
      <c r="I576" t="s">
        <v>1143</v>
      </c>
      <c r="J576" t="s">
        <v>1340</v>
      </c>
      <c r="K576" t="s">
        <v>1341</v>
      </c>
      <c r="L576">
        <v>0</v>
      </c>
      <c r="M576">
        <v>1174</v>
      </c>
      <c r="N576">
        <v>169000</v>
      </c>
      <c r="O576">
        <v>31.857389000000001</v>
      </c>
      <c r="P576">
        <v>35.920693999999997</v>
      </c>
      <c r="Q576" t="s">
        <v>1807</v>
      </c>
      <c r="S576" t="s">
        <v>2525</v>
      </c>
      <c r="U576" t="s">
        <v>3605</v>
      </c>
      <c r="W576" t="s">
        <v>1808</v>
      </c>
      <c r="Y576" t="s">
        <v>30</v>
      </c>
      <c r="Z576" t="s">
        <v>30</v>
      </c>
      <c r="AA576" t="str">
        <f>IF(NOT("https://maps.app.goo.gl/tWyaDoSy31YBob8g6" = ""), HYPERLINK("https://maps.app.goo.gl/tWyaDoSy31YBob8g6", "موقع"), "")</f>
        <v>موقع</v>
      </c>
    </row>
    <row r="577" spans="1:27" x14ac:dyDescent="0.3">
      <c r="A577" t="s">
        <v>1809</v>
      </c>
      <c r="B577" s="8">
        <v>46282.623217592591</v>
      </c>
      <c r="C577" t="s">
        <v>2</v>
      </c>
      <c r="D577" t="s">
        <v>315</v>
      </c>
      <c r="E577" t="s">
        <v>1146</v>
      </c>
      <c r="F577" t="s">
        <v>3606</v>
      </c>
      <c r="G577" t="s">
        <v>296</v>
      </c>
      <c r="H577" t="s">
        <v>1100</v>
      </c>
      <c r="I577" t="s">
        <v>1143</v>
      </c>
      <c r="J577" t="s">
        <v>1810</v>
      </c>
      <c r="K577" t="s">
        <v>1811</v>
      </c>
      <c r="L577">
        <v>0</v>
      </c>
      <c r="M577">
        <v>153</v>
      </c>
      <c r="N577">
        <v>227000</v>
      </c>
      <c r="O577">
        <v>31.855333000000002</v>
      </c>
      <c r="P577">
        <v>36.001832999999998</v>
      </c>
      <c r="Q577" t="s">
        <v>1812</v>
      </c>
      <c r="S577" t="s">
        <v>2525</v>
      </c>
      <c r="U577" t="s">
        <v>3607</v>
      </c>
      <c r="W577" t="s">
        <v>1813</v>
      </c>
      <c r="Y577" t="s">
        <v>30</v>
      </c>
      <c r="Z577" t="s">
        <v>30</v>
      </c>
      <c r="AA577" t="str">
        <f>IF(NOT("https://maps.app.goo.gl/BCCkCtzLbmBDR2Hv8" = ""), HYPERLINK("https://maps.app.goo.gl/BCCkCtzLbmBDR2Hv8", "موقع"), "")</f>
        <v>موقع</v>
      </c>
    </row>
    <row r="578" spans="1:27" x14ac:dyDescent="0.3">
      <c r="A578" t="s">
        <v>1814</v>
      </c>
      <c r="B578" s="8">
        <v>46282.623217592591</v>
      </c>
      <c r="C578" t="s">
        <v>2</v>
      </c>
      <c r="D578" t="s">
        <v>315</v>
      </c>
      <c r="E578" t="s">
        <v>1817</v>
      </c>
      <c r="F578" t="s">
        <v>3608</v>
      </c>
      <c r="G578" t="s">
        <v>296</v>
      </c>
      <c r="H578" t="s">
        <v>1100</v>
      </c>
      <c r="I578" t="s">
        <v>1143</v>
      </c>
      <c r="J578" t="s">
        <v>1815</v>
      </c>
      <c r="K578" t="s">
        <v>1816</v>
      </c>
      <c r="L578">
        <v>0</v>
      </c>
      <c r="M578">
        <v>499</v>
      </c>
      <c r="N578">
        <v>639000</v>
      </c>
      <c r="Q578" t="s">
        <v>1818</v>
      </c>
      <c r="S578" t="s">
        <v>2525</v>
      </c>
      <c r="W578" t="s">
        <v>1819</v>
      </c>
      <c r="Y578" t="s">
        <v>30</v>
      </c>
      <c r="Z578" t="s">
        <v>30</v>
      </c>
      <c r="AA578" t="s">
        <v>30</v>
      </c>
    </row>
    <row r="579" spans="1:27" x14ac:dyDescent="0.3">
      <c r="A579" t="s">
        <v>1820</v>
      </c>
      <c r="B579" s="8">
        <v>46282.623217592591</v>
      </c>
      <c r="C579" t="s">
        <v>2</v>
      </c>
      <c r="D579" t="s">
        <v>315</v>
      </c>
      <c r="F579" t="s">
        <v>3609</v>
      </c>
      <c r="G579" t="s">
        <v>296</v>
      </c>
      <c r="H579" t="s">
        <v>1100</v>
      </c>
      <c r="I579" t="s">
        <v>1101</v>
      </c>
      <c r="J579" t="s">
        <v>1102</v>
      </c>
      <c r="K579" t="s">
        <v>1633</v>
      </c>
      <c r="L579">
        <v>0</v>
      </c>
      <c r="M579">
        <v>0</v>
      </c>
      <c r="Q579" t="s">
        <v>28</v>
      </c>
      <c r="S579" t="s">
        <v>2525</v>
      </c>
      <c r="Y579" t="s">
        <v>30</v>
      </c>
      <c r="Z579" t="s">
        <v>30</v>
      </c>
      <c r="AA579" t="s">
        <v>30</v>
      </c>
    </row>
    <row r="580" spans="1:27" x14ac:dyDescent="0.3">
      <c r="A580" t="s">
        <v>1821</v>
      </c>
      <c r="B580" s="8">
        <v>46282.623217592591</v>
      </c>
      <c r="C580" t="s">
        <v>2</v>
      </c>
      <c r="D580" t="s">
        <v>315</v>
      </c>
      <c r="E580" t="s">
        <v>1607</v>
      </c>
      <c r="F580" t="s">
        <v>3610</v>
      </c>
      <c r="G580" t="s">
        <v>296</v>
      </c>
      <c r="H580" t="s">
        <v>1100</v>
      </c>
      <c r="I580" t="s">
        <v>1143</v>
      </c>
      <c r="J580" t="s">
        <v>1605</v>
      </c>
      <c r="K580" t="s">
        <v>1606</v>
      </c>
      <c r="L580">
        <v>0</v>
      </c>
      <c r="M580">
        <v>404</v>
      </c>
      <c r="O580">
        <v>31.900556000000002</v>
      </c>
      <c r="P580">
        <v>35.917166999999999</v>
      </c>
      <c r="Q580" t="s">
        <v>1822</v>
      </c>
      <c r="S580" t="s">
        <v>2525</v>
      </c>
      <c r="U580" t="s">
        <v>3611</v>
      </c>
      <c r="Y580" t="s">
        <v>30</v>
      </c>
      <c r="Z580" t="s">
        <v>30</v>
      </c>
      <c r="AA580" t="str">
        <f>IF(NOT("https://maps.app.goo.gl/qUh4fj5KqHyw2WJt8" = ""), HYPERLINK("https://maps.app.goo.gl/qUh4fj5KqHyw2WJt8", "موقع"), "")</f>
        <v>موقع</v>
      </c>
    </row>
    <row r="581" spans="1:27" x14ac:dyDescent="0.3">
      <c r="A581" t="s">
        <v>1823</v>
      </c>
      <c r="B581" s="8">
        <v>46282.623217592591</v>
      </c>
      <c r="C581" t="s">
        <v>2</v>
      </c>
      <c r="D581" t="s">
        <v>315</v>
      </c>
      <c r="E581" t="s">
        <v>1146</v>
      </c>
      <c r="F581" t="s">
        <v>3612</v>
      </c>
      <c r="G581" t="s">
        <v>296</v>
      </c>
      <c r="H581" t="s">
        <v>1100</v>
      </c>
      <c r="I581" t="s">
        <v>1143</v>
      </c>
      <c r="J581" t="s">
        <v>1810</v>
      </c>
      <c r="K581" t="s">
        <v>1824</v>
      </c>
      <c r="L581">
        <v>0</v>
      </c>
      <c r="M581">
        <v>246</v>
      </c>
      <c r="O581">
        <v>31.859417000000001</v>
      </c>
      <c r="P581">
        <v>36.004333000000003</v>
      </c>
      <c r="Q581" t="s">
        <v>1825</v>
      </c>
      <c r="S581" t="s">
        <v>2525</v>
      </c>
      <c r="U581" t="s">
        <v>3613</v>
      </c>
      <c r="Y581" t="s">
        <v>30</v>
      </c>
      <c r="Z581" t="s">
        <v>30</v>
      </c>
      <c r="AA581" t="str">
        <f>IF(NOT("https://maps.app.goo.gl/BnLEFw21ewgdNhkTA" = ""), HYPERLINK("https://maps.app.goo.gl/BnLEFw21ewgdNhkTA", "موقع"), "")</f>
        <v>موقع</v>
      </c>
    </row>
    <row r="582" spans="1:27" x14ac:dyDescent="0.3">
      <c r="A582" t="s">
        <v>1826</v>
      </c>
      <c r="B582" s="8">
        <v>46282.623217592591</v>
      </c>
      <c r="C582" t="s">
        <v>2</v>
      </c>
      <c r="D582" t="s">
        <v>315</v>
      </c>
      <c r="E582" t="s">
        <v>1475</v>
      </c>
      <c r="F582" t="s">
        <v>3614</v>
      </c>
      <c r="G582" t="s">
        <v>296</v>
      </c>
      <c r="H582" t="s">
        <v>1100</v>
      </c>
      <c r="I582" t="s">
        <v>1472</v>
      </c>
      <c r="J582" t="s">
        <v>1473</v>
      </c>
      <c r="K582" t="s">
        <v>1678</v>
      </c>
      <c r="L582">
        <v>0</v>
      </c>
      <c r="M582">
        <v>904</v>
      </c>
      <c r="O582">
        <v>31.882277999999999</v>
      </c>
      <c r="P582">
        <v>35.861694</v>
      </c>
      <c r="Q582" t="s">
        <v>1827</v>
      </c>
      <c r="S582" t="s">
        <v>2525</v>
      </c>
      <c r="U582" t="s">
        <v>3615</v>
      </c>
      <c r="Y582" t="s">
        <v>30</v>
      </c>
      <c r="Z582" t="s">
        <v>30</v>
      </c>
      <c r="AA582" t="str">
        <f>IF(NOT("https://maps.app.goo.gl/A8nNS1jxjbyHNkzJ6" = ""), HYPERLINK("https://maps.app.goo.gl/A8nNS1jxjbyHNkzJ6", "موقع"), "")</f>
        <v>موقع</v>
      </c>
    </row>
    <row r="583" spans="1:27" x14ac:dyDescent="0.3">
      <c r="A583" t="s">
        <v>1828</v>
      </c>
      <c r="B583" s="8">
        <v>46282.623217592591</v>
      </c>
      <c r="C583" t="s">
        <v>2</v>
      </c>
      <c r="D583" t="s">
        <v>315</v>
      </c>
      <c r="E583" t="s">
        <v>1279</v>
      </c>
      <c r="F583" t="s">
        <v>3616</v>
      </c>
      <c r="G583" t="s">
        <v>296</v>
      </c>
      <c r="H583" t="s">
        <v>1100</v>
      </c>
      <c r="I583" t="s">
        <v>1162</v>
      </c>
      <c r="J583" t="s">
        <v>1277</v>
      </c>
      <c r="K583" t="s">
        <v>1322</v>
      </c>
      <c r="L583">
        <v>0</v>
      </c>
      <c r="M583">
        <v>2531</v>
      </c>
      <c r="O583">
        <v>31.997222000000001</v>
      </c>
      <c r="P583">
        <v>35.979861</v>
      </c>
      <c r="Q583" t="s">
        <v>1829</v>
      </c>
      <c r="S583" t="s">
        <v>2525</v>
      </c>
      <c r="U583" t="s">
        <v>3617</v>
      </c>
      <c r="Y583" t="s">
        <v>30</v>
      </c>
      <c r="Z583" t="s">
        <v>30</v>
      </c>
      <c r="AA583" t="str">
        <f>IF(NOT("https://maps.app.goo.gl/KfZEkGEim1Hb1viV6" = ""), HYPERLINK("https://maps.app.goo.gl/KfZEkGEim1Hb1viV6", "موقع"), "")</f>
        <v>موقع</v>
      </c>
    </row>
    <row r="584" spans="1:27" x14ac:dyDescent="0.3">
      <c r="A584" t="s">
        <v>1830</v>
      </c>
      <c r="B584" s="8">
        <v>46282.623217592591</v>
      </c>
      <c r="C584" t="s">
        <v>2</v>
      </c>
      <c r="D584" t="s">
        <v>315</v>
      </c>
      <c r="E584" t="s">
        <v>1475</v>
      </c>
      <c r="F584" t="s">
        <v>3618</v>
      </c>
      <c r="G584" t="s">
        <v>296</v>
      </c>
      <c r="H584" t="s">
        <v>1100</v>
      </c>
      <c r="I584" t="s">
        <v>1472</v>
      </c>
      <c r="J584" t="s">
        <v>1831</v>
      </c>
      <c r="K584" t="s">
        <v>1832</v>
      </c>
      <c r="L584">
        <v>0</v>
      </c>
      <c r="M584">
        <v>527</v>
      </c>
      <c r="O584">
        <v>31.835443999999999</v>
      </c>
      <c r="P584">
        <v>35.787944000000003</v>
      </c>
      <c r="Q584" t="s">
        <v>1833</v>
      </c>
      <c r="S584" t="s">
        <v>2525</v>
      </c>
      <c r="U584" t="s">
        <v>3619</v>
      </c>
      <c r="Y584" t="s">
        <v>30</v>
      </c>
      <c r="Z584" t="s">
        <v>30</v>
      </c>
      <c r="AA584" t="str">
        <f>IF(NOT("https://maps.app.goo.gl/392iBsGCe5vXVio58" = ""), HYPERLINK("https://maps.app.goo.gl/392iBsGCe5vXVio58", "موقع"), "")</f>
        <v>موقع</v>
      </c>
    </row>
    <row r="585" spans="1:27" x14ac:dyDescent="0.3">
      <c r="A585" t="s">
        <v>1834</v>
      </c>
      <c r="B585" s="8">
        <v>46282.623217592591</v>
      </c>
      <c r="C585" t="s">
        <v>2</v>
      </c>
      <c r="D585" t="s">
        <v>315</v>
      </c>
      <c r="E585" t="s">
        <v>1637</v>
      </c>
      <c r="F585" t="s">
        <v>3620</v>
      </c>
      <c r="G585" t="s">
        <v>296</v>
      </c>
      <c r="H585" t="s">
        <v>1100</v>
      </c>
      <c r="I585" t="s">
        <v>1263</v>
      </c>
      <c r="J585" t="s">
        <v>1399</v>
      </c>
      <c r="K585" t="s">
        <v>1835</v>
      </c>
      <c r="L585">
        <v>0</v>
      </c>
      <c r="M585">
        <v>619</v>
      </c>
      <c r="O585">
        <v>32.030749999999998</v>
      </c>
      <c r="P585">
        <v>35.834499999999998</v>
      </c>
      <c r="Q585" t="s">
        <v>1836</v>
      </c>
      <c r="S585" t="s">
        <v>2525</v>
      </c>
      <c r="U585" t="s">
        <v>3621</v>
      </c>
      <c r="Y585" t="s">
        <v>30</v>
      </c>
      <c r="Z585" t="s">
        <v>30</v>
      </c>
      <c r="AA585" t="str">
        <f>IF(NOT("https://maps.app.goo.gl/WFoG8B9wx1pYCBYw8" = ""), HYPERLINK("https://maps.app.goo.gl/WFoG8B9wx1pYCBYw8", "موقع"), "")</f>
        <v>موقع</v>
      </c>
    </row>
    <row r="586" spans="1:27" x14ac:dyDescent="0.3">
      <c r="A586" t="s">
        <v>1837</v>
      </c>
      <c r="B586" s="8">
        <v>46282.623217592591</v>
      </c>
      <c r="C586" t="s">
        <v>2</v>
      </c>
      <c r="D586" t="s">
        <v>315</v>
      </c>
      <c r="E586" t="s">
        <v>1165</v>
      </c>
      <c r="F586" t="s">
        <v>3622</v>
      </c>
      <c r="G586" t="s">
        <v>296</v>
      </c>
      <c r="H586" t="s">
        <v>1100</v>
      </c>
      <c r="I586" t="s">
        <v>1162</v>
      </c>
      <c r="J586" t="s">
        <v>1163</v>
      </c>
      <c r="K586" t="s">
        <v>1247</v>
      </c>
      <c r="L586">
        <v>0</v>
      </c>
      <c r="M586">
        <v>1652</v>
      </c>
      <c r="O586">
        <v>31.956444000000001</v>
      </c>
      <c r="P586">
        <v>35.978943999999998</v>
      </c>
      <c r="Q586" t="s">
        <v>1838</v>
      </c>
      <c r="S586" t="s">
        <v>2525</v>
      </c>
      <c r="U586" t="s">
        <v>3623</v>
      </c>
      <c r="Y586" t="s">
        <v>30</v>
      </c>
      <c r="Z586" t="s">
        <v>30</v>
      </c>
      <c r="AA586" t="str">
        <f>IF(NOT("https://maps.app.goo.gl/g8BmRrkiQN7cGfYK9" = ""), HYPERLINK("https://maps.app.goo.gl/g8BmRrkiQN7cGfYK9", "موقع"), "")</f>
        <v>موقع</v>
      </c>
    </row>
    <row r="587" spans="1:27" x14ac:dyDescent="0.3">
      <c r="A587" t="s">
        <v>1839</v>
      </c>
      <c r="B587" s="8">
        <v>46282.623217592591</v>
      </c>
      <c r="C587" t="s">
        <v>2</v>
      </c>
      <c r="D587" t="s">
        <v>315</v>
      </c>
      <c r="E587" t="s">
        <v>1331</v>
      </c>
      <c r="F587" t="s">
        <v>3624</v>
      </c>
      <c r="G587" t="s">
        <v>296</v>
      </c>
      <c r="H587" t="s">
        <v>1100</v>
      </c>
      <c r="I587" t="s">
        <v>1263</v>
      </c>
      <c r="J587" t="s">
        <v>1329</v>
      </c>
      <c r="K587" t="s">
        <v>1616</v>
      </c>
      <c r="L587">
        <v>0</v>
      </c>
      <c r="M587">
        <v>730</v>
      </c>
      <c r="O587">
        <v>32.023667000000003</v>
      </c>
      <c r="P587">
        <v>35.883861000000003</v>
      </c>
      <c r="Q587" t="s">
        <v>1840</v>
      </c>
      <c r="S587" t="s">
        <v>2525</v>
      </c>
      <c r="U587" t="s">
        <v>3625</v>
      </c>
      <c r="Y587" t="s">
        <v>30</v>
      </c>
      <c r="Z587" t="s">
        <v>30</v>
      </c>
      <c r="AA587" t="str">
        <f>IF(NOT("https://maps.app.goo.gl/2wjRy147TJxMGsnn8" = ""), HYPERLINK("https://maps.app.goo.gl/2wjRy147TJxMGsnn8", "موقع"), "")</f>
        <v>موقع</v>
      </c>
    </row>
    <row r="588" spans="1:27" x14ac:dyDescent="0.3">
      <c r="A588" t="s">
        <v>1841</v>
      </c>
      <c r="B588" s="8">
        <v>46282.623217592591</v>
      </c>
      <c r="C588" t="s">
        <v>2</v>
      </c>
      <c r="D588" t="s">
        <v>315</v>
      </c>
      <c r="E588" t="s">
        <v>154</v>
      </c>
      <c r="F588" t="s">
        <v>3626</v>
      </c>
      <c r="G588" t="s">
        <v>296</v>
      </c>
      <c r="H588" t="s">
        <v>1100</v>
      </c>
      <c r="I588" t="s">
        <v>1263</v>
      </c>
      <c r="J588" t="s">
        <v>1381</v>
      </c>
      <c r="K588" t="s">
        <v>1391</v>
      </c>
      <c r="L588">
        <v>0</v>
      </c>
      <c r="M588">
        <v>1627</v>
      </c>
      <c r="O588">
        <v>31.9665</v>
      </c>
      <c r="P588">
        <v>35.884611</v>
      </c>
      <c r="Q588" t="s">
        <v>1842</v>
      </c>
      <c r="R588" t="s">
        <v>3627</v>
      </c>
      <c r="S588" t="s">
        <v>2579</v>
      </c>
      <c r="T588" t="s">
        <v>3628</v>
      </c>
      <c r="U588" t="s">
        <v>3629</v>
      </c>
      <c r="Y588" t="s">
        <v>30</v>
      </c>
      <c r="Z588" t="str">
        <f>IF(NOT("https://truemarkets3d.net/3d-virtual-tour/housingbank-realestate/phase3/aq-bld-100129/index.html" = ""), HYPERLINK("https://truemarkets3d.net/3d-virtual-tour/housingbank-realestate/phase3/aq-bld-100129/index.html", "جولة"), "")</f>
        <v>جولة</v>
      </c>
      <c r="AA588" t="str">
        <f>IF(NOT("https://maps.app.goo.gl/Kqac5LtiiW5gQHpT9" = ""), HYPERLINK("https://maps.app.goo.gl/Kqac5LtiiW5gQHpT9", "موقع"), "")</f>
        <v>موقع</v>
      </c>
    </row>
    <row r="589" spans="1:27" x14ac:dyDescent="0.3">
      <c r="A589" t="s">
        <v>1843</v>
      </c>
      <c r="B589" s="8">
        <v>46282.623217592591</v>
      </c>
      <c r="C589" t="s">
        <v>2</v>
      </c>
      <c r="D589" t="s">
        <v>315</v>
      </c>
      <c r="E589" t="s">
        <v>1463</v>
      </c>
      <c r="F589" t="s">
        <v>3630</v>
      </c>
      <c r="G589" t="s">
        <v>296</v>
      </c>
      <c r="H589" t="s">
        <v>1100</v>
      </c>
      <c r="I589" t="s">
        <v>1263</v>
      </c>
      <c r="J589" t="s">
        <v>1461</v>
      </c>
      <c r="K589" t="s">
        <v>1844</v>
      </c>
      <c r="L589">
        <v>0</v>
      </c>
      <c r="M589">
        <v>868</v>
      </c>
      <c r="O589">
        <v>32.066916999999997</v>
      </c>
      <c r="P589">
        <v>35.893278000000002</v>
      </c>
      <c r="Q589" t="s">
        <v>1845</v>
      </c>
      <c r="S589" t="s">
        <v>2525</v>
      </c>
      <c r="U589" t="s">
        <v>3631</v>
      </c>
      <c r="Y589" t="s">
        <v>30</v>
      </c>
      <c r="Z589" t="s">
        <v>30</v>
      </c>
      <c r="AA589" t="str">
        <f>IF(NOT("https://maps.app.goo.gl/vKaeiF5Q2e28jMaD9" = ""), HYPERLINK("https://maps.app.goo.gl/vKaeiF5Q2e28jMaD9", "موقع"), "")</f>
        <v>موقع</v>
      </c>
    </row>
    <row r="590" spans="1:27" x14ac:dyDescent="0.3">
      <c r="A590" t="s">
        <v>1846</v>
      </c>
      <c r="B590" s="8">
        <v>46282.623217592591</v>
      </c>
      <c r="C590" t="s">
        <v>2</v>
      </c>
      <c r="D590" t="s">
        <v>315</v>
      </c>
      <c r="E590" t="s">
        <v>1849</v>
      </c>
      <c r="F590" t="s">
        <v>3632</v>
      </c>
      <c r="G590" t="s">
        <v>296</v>
      </c>
      <c r="H590" t="s">
        <v>1100</v>
      </c>
      <c r="I590" t="s">
        <v>1143</v>
      </c>
      <c r="J590" t="s">
        <v>1847</v>
      </c>
      <c r="K590" t="s">
        <v>1848</v>
      </c>
      <c r="L590">
        <v>0</v>
      </c>
      <c r="M590">
        <v>732</v>
      </c>
      <c r="Q590" t="s">
        <v>1850</v>
      </c>
      <c r="S590" t="s">
        <v>2525</v>
      </c>
      <c r="Y590" t="s">
        <v>30</v>
      </c>
      <c r="Z590" t="s">
        <v>30</v>
      </c>
      <c r="AA590" t="s">
        <v>30</v>
      </c>
    </row>
    <row r="591" spans="1:27" x14ac:dyDescent="0.3">
      <c r="A591" t="s">
        <v>1851</v>
      </c>
      <c r="B591" s="8">
        <v>46282.623217592591</v>
      </c>
      <c r="C591" t="s">
        <v>2</v>
      </c>
      <c r="D591" t="s">
        <v>1852</v>
      </c>
      <c r="E591" t="s">
        <v>1146</v>
      </c>
      <c r="F591" t="s">
        <v>3633</v>
      </c>
      <c r="G591" t="s">
        <v>296</v>
      </c>
      <c r="H591" t="s">
        <v>1100</v>
      </c>
      <c r="I591" t="s">
        <v>1143</v>
      </c>
      <c r="J591" t="s">
        <v>1144</v>
      </c>
      <c r="K591" t="s">
        <v>1145</v>
      </c>
      <c r="L591">
        <v>0</v>
      </c>
      <c r="M591">
        <v>1327</v>
      </c>
      <c r="O591">
        <v>31.8675</v>
      </c>
      <c r="P591">
        <v>35.982332999999997</v>
      </c>
      <c r="Q591" t="s">
        <v>1853</v>
      </c>
      <c r="S591" t="s">
        <v>2525</v>
      </c>
      <c r="U591" t="s">
        <v>3634</v>
      </c>
      <c r="Y591" t="s">
        <v>30</v>
      </c>
      <c r="Z591" t="s">
        <v>30</v>
      </c>
      <c r="AA591" t="str">
        <f>IF(NOT("https://maps.app.goo.gl/a8bcJuDZijW4pmwC6" = ""), HYPERLINK("https://maps.app.goo.gl/a8bcJuDZijW4pmwC6", "موقع"), "")</f>
        <v>موقع</v>
      </c>
    </row>
    <row r="592" spans="1:27" x14ac:dyDescent="0.3">
      <c r="A592" t="s">
        <v>1854</v>
      </c>
      <c r="B592" s="8">
        <v>46282.623217592591</v>
      </c>
      <c r="C592" t="s">
        <v>2</v>
      </c>
      <c r="D592" t="s">
        <v>1852</v>
      </c>
      <c r="E592" t="s">
        <v>1146</v>
      </c>
      <c r="F592" t="s">
        <v>3635</v>
      </c>
      <c r="G592" t="s">
        <v>296</v>
      </c>
      <c r="H592" t="s">
        <v>1100</v>
      </c>
      <c r="I592" t="s">
        <v>1143</v>
      </c>
      <c r="J592" t="s">
        <v>1144</v>
      </c>
      <c r="K592" t="s">
        <v>1145</v>
      </c>
      <c r="L592">
        <v>111</v>
      </c>
      <c r="M592">
        <v>1322</v>
      </c>
      <c r="O592">
        <v>31.868611000000001</v>
      </c>
      <c r="P592">
        <v>35.980806000000001</v>
      </c>
      <c r="Q592" t="s">
        <v>1855</v>
      </c>
      <c r="S592" t="s">
        <v>2525</v>
      </c>
      <c r="U592" t="s">
        <v>3636</v>
      </c>
      <c r="Y592" t="s">
        <v>30</v>
      </c>
      <c r="Z592" t="s">
        <v>30</v>
      </c>
      <c r="AA592" t="str">
        <f>IF(NOT("https://maps.app.goo.gl/UhH9uNEipkVUzRC19" = ""), HYPERLINK("https://maps.app.goo.gl/UhH9uNEipkVUzRC19", "موقع"), "")</f>
        <v>موقع</v>
      </c>
    </row>
    <row r="593" spans="1:27" x14ac:dyDescent="0.3">
      <c r="A593" t="s">
        <v>1856</v>
      </c>
      <c r="B593" s="8">
        <v>46282.623217592591</v>
      </c>
      <c r="C593" t="s">
        <v>2</v>
      </c>
      <c r="D593" t="s">
        <v>1852</v>
      </c>
      <c r="E593" t="s">
        <v>1146</v>
      </c>
      <c r="F593" t="s">
        <v>3637</v>
      </c>
      <c r="G593" t="s">
        <v>296</v>
      </c>
      <c r="H593" t="s">
        <v>1100</v>
      </c>
      <c r="I593" t="s">
        <v>1143</v>
      </c>
      <c r="J593" t="s">
        <v>1144</v>
      </c>
      <c r="K593" t="s">
        <v>1145</v>
      </c>
      <c r="L593">
        <v>122</v>
      </c>
      <c r="M593">
        <v>1322</v>
      </c>
      <c r="O593">
        <v>31.868611000000001</v>
      </c>
      <c r="P593">
        <v>35.980806000000001</v>
      </c>
      <c r="Q593" t="s">
        <v>1857</v>
      </c>
      <c r="S593" t="s">
        <v>2525</v>
      </c>
      <c r="U593" t="s">
        <v>3636</v>
      </c>
      <c r="Y593" t="s">
        <v>30</v>
      </c>
      <c r="Z593" t="s">
        <v>30</v>
      </c>
      <c r="AA593" t="str">
        <f>IF(NOT("https://maps.app.goo.gl/UhH9uNEipkVUzRC19" = ""), HYPERLINK("https://maps.app.goo.gl/UhH9uNEipkVUzRC19", "موقع"), "")</f>
        <v>موقع</v>
      </c>
    </row>
    <row r="594" spans="1:27" x14ac:dyDescent="0.3">
      <c r="A594" t="s">
        <v>1858</v>
      </c>
      <c r="B594" s="8">
        <v>46282.623217592591</v>
      </c>
      <c r="C594" t="s">
        <v>2</v>
      </c>
      <c r="D594" t="s">
        <v>1852</v>
      </c>
      <c r="E594" t="s">
        <v>1146</v>
      </c>
      <c r="F594" t="s">
        <v>3638</v>
      </c>
      <c r="G594" t="s">
        <v>296</v>
      </c>
      <c r="H594" t="s">
        <v>1100</v>
      </c>
      <c r="I594" t="s">
        <v>1143</v>
      </c>
      <c r="J594" t="s">
        <v>1144</v>
      </c>
      <c r="K594" t="s">
        <v>1145</v>
      </c>
      <c r="L594">
        <v>222</v>
      </c>
      <c r="M594">
        <v>1322</v>
      </c>
      <c r="Q594" t="s">
        <v>1859</v>
      </c>
      <c r="S594" t="s">
        <v>2525</v>
      </c>
      <c r="Y594" t="s">
        <v>30</v>
      </c>
      <c r="Z594" t="s">
        <v>30</v>
      </c>
      <c r="AA594" t="s">
        <v>30</v>
      </c>
    </row>
    <row r="595" spans="1:27" x14ac:dyDescent="0.3">
      <c r="A595" t="s">
        <v>1860</v>
      </c>
      <c r="B595" s="8">
        <v>46282.623217592591</v>
      </c>
      <c r="C595" t="s">
        <v>2</v>
      </c>
      <c r="D595" t="s">
        <v>1852</v>
      </c>
      <c r="E595" t="s">
        <v>1146</v>
      </c>
      <c r="F595" t="s">
        <v>3639</v>
      </c>
      <c r="G595" t="s">
        <v>296</v>
      </c>
      <c r="H595" t="s">
        <v>1100</v>
      </c>
      <c r="I595" t="s">
        <v>1143</v>
      </c>
      <c r="J595" t="s">
        <v>1144</v>
      </c>
      <c r="K595" t="s">
        <v>1145</v>
      </c>
      <c r="L595">
        <v>221</v>
      </c>
      <c r="M595">
        <v>1322</v>
      </c>
      <c r="O595">
        <v>31.868611000000001</v>
      </c>
      <c r="P595">
        <v>35.980806000000001</v>
      </c>
      <c r="Q595" t="s">
        <v>1861</v>
      </c>
      <c r="S595" t="s">
        <v>2525</v>
      </c>
      <c r="U595" t="s">
        <v>3636</v>
      </c>
      <c r="Y595" t="s">
        <v>30</v>
      </c>
      <c r="Z595" t="s">
        <v>30</v>
      </c>
      <c r="AA595" t="str">
        <f>IF(NOT("https://maps.app.goo.gl/UhH9uNEipkVUzRC19" = ""), HYPERLINK("https://maps.app.goo.gl/UhH9uNEipkVUzRC19", "موقع"), "")</f>
        <v>موقع</v>
      </c>
    </row>
    <row r="596" spans="1:27" x14ac:dyDescent="0.3">
      <c r="A596" t="s">
        <v>1862</v>
      </c>
      <c r="B596" s="8">
        <v>46282.623217592591</v>
      </c>
      <c r="C596" t="s">
        <v>2</v>
      </c>
      <c r="D596" t="s">
        <v>1852</v>
      </c>
      <c r="E596" t="s">
        <v>1146</v>
      </c>
      <c r="F596" t="s">
        <v>3640</v>
      </c>
      <c r="G596" t="s">
        <v>296</v>
      </c>
      <c r="H596" t="s">
        <v>1100</v>
      </c>
      <c r="I596" t="s">
        <v>1143</v>
      </c>
      <c r="J596" t="s">
        <v>1144</v>
      </c>
      <c r="K596" t="s">
        <v>1145</v>
      </c>
      <c r="L596">
        <v>0</v>
      </c>
      <c r="M596">
        <v>1326</v>
      </c>
      <c r="O596">
        <v>31.86825</v>
      </c>
      <c r="P596">
        <v>35.982028</v>
      </c>
      <c r="Q596" t="s">
        <v>1863</v>
      </c>
      <c r="S596" t="s">
        <v>2525</v>
      </c>
      <c r="U596" t="s">
        <v>3641</v>
      </c>
      <c r="Y596" t="s">
        <v>30</v>
      </c>
      <c r="Z596" t="s">
        <v>30</v>
      </c>
      <c r="AA596" t="str">
        <f>IF(NOT("https://maps.app.goo.gl/8wcnWf7n91sNC15N9" = ""), HYPERLINK("https://maps.app.goo.gl/8wcnWf7n91sNC15N9", "موقع"), "")</f>
        <v>موقع</v>
      </c>
    </row>
    <row r="597" spans="1:27" x14ac:dyDescent="0.3">
      <c r="A597" t="s">
        <v>1864</v>
      </c>
      <c r="B597" s="8">
        <v>46282.623217592591</v>
      </c>
      <c r="C597" t="s">
        <v>2</v>
      </c>
      <c r="D597" t="s">
        <v>1852</v>
      </c>
      <c r="E597" t="s">
        <v>1867</v>
      </c>
      <c r="F597" t="s">
        <v>3642</v>
      </c>
      <c r="G597" t="s">
        <v>296</v>
      </c>
      <c r="H597" t="s">
        <v>1100</v>
      </c>
      <c r="I597" t="s">
        <v>1143</v>
      </c>
      <c r="J597" t="s">
        <v>1865</v>
      </c>
      <c r="K597" t="s">
        <v>1866</v>
      </c>
      <c r="L597">
        <v>0</v>
      </c>
      <c r="M597">
        <v>378</v>
      </c>
      <c r="O597">
        <v>31.76275</v>
      </c>
      <c r="P597">
        <v>35.972721999999997</v>
      </c>
      <c r="Q597" t="s">
        <v>1868</v>
      </c>
      <c r="S597" t="s">
        <v>2525</v>
      </c>
      <c r="U597" t="s">
        <v>3643</v>
      </c>
      <c r="Y597" t="s">
        <v>30</v>
      </c>
      <c r="Z597" t="s">
        <v>30</v>
      </c>
      <c r="AA597" t="str">
        <f>IF(NOT("https://maps.app.goo.gl/ZZNr3uZ2B9VfJq4JA" = ""), HYPERLINK("https://maps.app.goo.gl/ZZNr3uZ2B9VfJq4JA", "موقع"), "")</f>
        <v>موقع</v>
      </c>
    </row>
    <row r="598" spans="1:27" x14ac:dyDescent="0.3">
      <c r="A598" t="s">
        <v>1869</v>
      </c>
      <c r="B598" s="8">
        <v>46282.623217592591</v>
      </c>
      <c r="C598" t="s">
        <v>2</v>
      </c>
      <c r="D598" t="s">
        <v>1852</v>
      </c>
      <c r="E598" t="s">
        <v>1146</v>
      </c>
      <c r="F598" t="s">
        <v>3644</v>
      </c>
      <c r="G598" t="s">
        <v>296</v>
      </c>
      <c r="H598" t="s">
        <v>1100</v>
      </c>
      <c r="I598" t="s">
        <v>1143</v>
      </c>
      <c r="J598" t="s">
        <v>1144</v>
      </c>
      <c r="K598" t="s">
        <v>1145</v>
      </c>
      <c r="L598">
        <v>112</v>
      </c>
      <c r="M598">
        <v>1322</v>
      </c>
      <c r="Q598" t="s">
        <v>1857</v>
      </c>
      <c r="S598" t="s">
        <v>2525</v>
      </c>
      <c r="Y598" t="s">
        <v>30</v>
      </c>
      <c r="Z598" t="s">
        <v>30</v>
      </c>
      <c r="AA598" t="s">
        <v>30</v>
      </c>
    </row>
    <row r="599" spans="1:27" x14ac:dyDescent="0.3">
      <c r="A599" t="s">
        <v>1870</v>
      </c>
      <c r="B599" s="8">
        <v>46282.623217592591</v>
      </c>
      <c r="C599" t="s">
        <v>2</v>
      </c>
      <c r="D599" t="s">
        <v>1852</v>
      </c>
      <c r="E599" t="s">
        <v>1873</v>
      </c>
      <c r="F599" t="s">
        <v>3645</v>
      </c>
      <c r="G599" t="s">
        <v>296</v>
      </c>
      <c r="H599" t="s">
        <v>1100</v>
      </c>
      <c r="I599" t="s">
        <v>1168</v>
      </c>
      <c r="J599" t="s">
        <v>1871</v>
      </c>
      <c r="K599" t="s">
        <v>1872</v>
      </c>
      <c r="L599">
        <v>0</v>
      </c>
      <c r="M599">
        <v>203</v>
      </c>
      <c r="O599">
        <v>31.800194000000001</v>
      </c>
      <c r="P599">
        <v>36.084806</v>
      </c>
      <c r="Q599" t="s">
        <v>1874</v>
      </c>
      <c r="R599" t="s">
        <v>3646</v>
      </c>
      <c r="S599" t="s">
        <v>2579</v>
      </c>
      <c r="U599" t="s">
        <v>3647</v>
      </c>
      <c r="Y599" t="s">
        <v>30</v>
      </c>
      <c r="Z599" t="str">
        <f>IF(NOT("https://truemarkets3d.net/3d-virtual-tour/housingbank-realestate/phase3/aq-bld-100411/index.html" = ""), HYPERLINK("https://truemarkets3d.net/3d-virtual-tour/housingbank-realestate/phase3/aq-bld-100411/index.html", "جولة"), "")</f>
        <v>جولة</v>
      </c>
      <c r="AA599" t="str">
        <f>IF(NOT("https://maps.app.goo.gl/MaUwChyM4wn7vAck7" = ""), HYPERLINK("https://maps.app.goo.gl/MaUwChyM4wn7vAck7", "موقع"), "")</f>
        <v>موقع</v>
      </c>
    </row>
    <row r="600" spans="1:27" x14ac:dyDescent="0.3">
      <c r="A600" t="s">
        <v>1875</v>
      </c>
      <c r="B600" s="8">
        <v>46282.623217592591</v>
      </c>
      <c r="C600" t="s">
        <v>2</v>
      </c>
      <c r="D600" t="s">
        <v>1852</v>
      </c>
      <c r="E600" t="s">
        <v>1165</v>
      </c>
      <c r="F600" t="s">
        <v>3648</v>
      </c>
      <c r="G600" t="s">
        <v>296</v>
      </c>
      <c r="H600" t="s">
        <v>1100</v>
      </c>
      <c r="I600" t="s">
        <v>1162</v>
      </c>
      <c r="J600" t="s">
        <v>1163</v>
      </c>
      <c r="K600" t="s">
        <v>1193</v>
      </c>
      <c r="L600">
        <v>0</v>
      </c>
      <c r="M600">
        <v>6339</v>
      </c>
      <c r="O600">
        <v>32.005056000000003</v>
      </c>
      <c r="P600">
        <v>35.997889000000001</v>
      </c>
      <c r="Q600" t="s">
        <v>1876</v>
      </c>
      <c r="S600" t="s">
        <v>2525</v>
      </c>
      <c r="U600" t="s">
        <v>3649</v>
      </c>
      <c r="Y600" t="s">
        <v>30</v>
      </c>
      <c r="Z600" t="s">
        <v>30</v>
      </c>
      <c r="AA600" t="str">
        <f>IF(NOT("https://maps.app.goo.gl/ZwwfBcSH7CzboKi2A" = ""), HYPERLINK("https://maps.app.goo.gl/ZwwfBcSH7CzboKi2A", "موقع"), "")</f>
        <v>موقع</v>
      </c>
    </row>
    <row r="601" spans="1:27" x14ac:dyDescent="0.3">
      <c r="A601" t="s">
        <v>1877</v>
      </c>
      <c r="B601" s="8">
        <v>46282.623217592591</v>
      </c>
      <c r="C601" t="s">
        <v>2</v>
      </c>
      <c r="D601" t="s">
        <v>1852</v>
      </c>
      <c r="E601" t="s">
        <v>1479</v>
      </c>
      <c r="F601" t="s">
        <v>3650</v>
      </c>
      <c r="G601" t="s">
        <v>296</v>
      </c>
      <c r="H601" t="s">
        <v>1100</v>
      </c>
      <c r="I601" t="s">
        <v>1424</v>
      </c>
      <c r="J601" t="s">
        <v>1425</v>
      </c>
      <c r="K601" t="s">
        <v>1878</v>
      </c>
      <c r="L601">
        <v>0</v>
      </c>
      <c r="M601">
        <v>1649</v>
      </c>
      <c r="O601">
        <v>31.944500000000001</v>
      </c>
      <c r="P601">
        <v>35.835583</v>
      </c>
      <c r="Q601" t="s">
        <v>1879</v>
      </c>
      <c r="S601" t="s">
        <v>2525</v>
      </c>
      <c r="U601" t="s">
        <v>3651</v>
      </c>
      <c r="Y601" t="s">
        <v>30</v>
      </c>
      <c r="Z601" t="s">
        <v>30</v>
      </c>
      <c r="AA601" t="str">
        <f>IF(NOT("https://maps.app.goo.gl/SJwpPpDW1nWnqvKS8" = ""), HYPERLINK("https://maps.app.goo.gl/SJwpPpDW1nWnqvKS8", "موقع"), "")</f>
        <v>موقع</v>
      </c>
    </row>
    <row r="602" spans="1:27" x14ac:dyDescent="0.3">
      <c r="A602" t="s">
        <v>1880</v>
      </c>
      <c r="B602" s="8">
        <v>46282.623217592591</v>
      </c>
      <c r="C602" t="s">
        <v>2</v>
      </c>
      <c r="D602" t="s">
        <v>451</v>
      </c>
      <c r="E602" t="s">
        <v>1342</v>
      </c>
      <c r="F602" t="s">
        <v>3652</v>
      </c>
      <c r="G602" t="s">
        <v>296</v>
      </c>
      <c r="H602" t="s">
        <v>1100</v>
      </c>
      <c r="I602" t="s">
        <v>1143</v>
      </c>
      <c r="J602" t="s">
        <v>1815</v>
      </c>
      <c r="K602" t="s">
        <v>1881</v>
      </c>
      <c r="M602">
        <v>444</v>
      </c>
      <c r="N602">
        <v>473000</v>
      </c>
      <c r="Q602" t="s">
        <v>1882</v>
      </c>
      <c r="S602" t="s">
        <v>2525</v>
      </c>
      <c r="W602" t="s">
        <v>1883</v>
      </c>
      <c r="Y602" t="s">
        <v>30</v>
      </c>
      <c r="Z602" t="s">
        <v>30</v>
      </c>
      <c r="AA602" t="s">
        <v>30</v>
      </c>
    </row>
    <row r="603" spans="1:27" x14ac:dyDescent="0.3">
      <c r="A603" t="s">
        <v>1884</v>
      </c>
      <c r="B603" s="8">
        <v>46282.623217592591</v>
      </c>
      <c r="C603" t="s">
        <v>2</v>
      </c>
      <c r="D603" t="s">
        <v>451</v>
      </c>
      <c r="E603" t="s">
        <v>1634</v>
      </c>
      <c r="F603" t="s">
        <v>3653</v>
      </c>
      <c r="G603" t="s">
        <v>296</v>
      </c>
      <c r="H603" t="s">
        <v>1100</v>
      </c>
      <c r="I603" t="s">
        <v>1101</v>
      </c>
      <c r="J603" t="s">
        <v>1102</v>
      </c>
      <c r="K603" t="s">
        <v>1633</v>
      </c>
      <c r="L603">
        <v>0</v>
      </c>
      <c r="M603">
        <v>1683</v>
      </c>
      <c r="O603">
        <v>31.971667</v>
      </c>
      <c r="P603">
        <v>35.893444000000002</v>
      </c>
      <c r="Q603" t="s">
        <v>1885</v>
      </c>
      <c r="R603" t="s">
        <v>3654</v>
      </c>
      <c r="S603" t="s">
        <v>2579</v>
      </c>
      <c r="U603" t="s">
        <v>3655</v>
      </c>
      <c r="Y603" t="s">
        <v>30</v>
      </c>
      <c r="Z603" t="str">
        <f>IF(NOT("https://truemarkets3d.net/3d-virtual-tour/housingbank-realestate/phase3/aq-bld-100430/index.html" = ""), HYPERLINK("https://truemarkets3d.net/3d-virtual-tour/housingbank-realestate/phase3/aq-bld-100430/index.html", "جولة"), "")</f>
        <v>جولة</v>
      </c>
      <c r="AA603" t="str">
        <f>IF(NOT("https://maps.app.goo.gl/FX1k5ZH14zG4U4kn8" = ""), HYPERLINK("https://maps.app.goo.gl/FX1k5ZH14zG4U4kn8", "موقع"), "")</f>
        <v>موقع</v>
      </c>
    </row>
    <row r="604" spans="1:27" x14ac:dyDescent="0.3">
      <c r="A604" t="s">
        <v>1886</v>
      </c>
      <c r="B604" s="8">
        <v>46282.623217592591</v>
      </c>
      <c r="C604" t="s">
        <v>2</v>
      </c>
      <c r="D604" t="s">
        <v>451</v>
      </c>
      <c r="E604" t="s">
        <v>1582</v>
      </c>
      <c r="F604" t="s">
        <v>3656</v>
      </c>
      <c r="G604" t="s">
        <v>296</v>
      </c>
      <c r="H604" t="s">
        <v>1100</v>
      </c>
      <c r="I604" t="s">
        <v>1263</v>
      </c>
      <c r="J604" t="s">
        <v>1329</v>
      </c>
      <c r="K604" t="s">
        <v>1887</v>
      </c>
      <c r="L604">
        <v>0</v>
      </c>
      <c r="M604">
        <v>854</v>
      </c>
      <c r="O604">
        <v>31.996167</v>
      </c>
      <c r="P604">
        <v>35.893694000000004</v>
      </c>
      <c r="Q604" t="s">
        <v>1888</v>
      </c>
      <c r="R604" t="s">
        <v>3657</v>
      </c>
      <c r="S604" t="s">
        <v>2579</v>
      </c>
      <c r="U604" t="s">
        <v>3658</v>
      </c>
      <c r="Y604" t="s">
        <v>30</v>
      </c>
      <c r="Z604" t="str">
        <f>IF(NOT("https://truemarkets3d.net/3d-virtual-tour/housingbank-realestate/phase3/aq-bld-100190/index.html" = ""), HYPERLINK("https://truemarkets3d.net/3d-virtual-tour/housingbank-realestate/phase3/aq-bld-100190/index.html", "جولة"), "")</f>
        <v>جولة</v>
      </c>
      <c r="AA604" t="str">
        <f>IF(NOT("https://maps.app.goo.gl/CZPHT5bQp7ARQEYXA" = ""), HYPERLINK("https://maps.app.goo.gl/CZPHT5bQp7ARQEYXA", "موقع"), "")</f>
        <v>موقع</v>
      </c>
    </row>
    <row r="605" spans="1:27" x14ac:dyDescent="0.3">
      <c r="A605" t="s">
        <v>1889</v>
      </c>
      <c r="B605" s="8">
        <v>46282.623217592591</v>
      </c>
      <c r="C605" t="s">
        <v>2</v>
      </c>
      <c r="D605" t="s">
        <v>451</v>
      </c>
      <c r="E605" t="s">
        <v>1597</v>
      </c>
      <c r="F605" t="s">
        <v>3659</v>
      </c>
      <c r="G605" t="s">
        <v>296</v>
      </c>
      <c r="H605" t="s">
        <v>1100</v>
      </c>
      <c r="I605" t="s">
        <v>1263</v>
      </c>
      <c r="J605" t="s">
        <v>1399</v>
      </c>
      <c r="K605" t="s">
        <v>1890</v>
      </c>
      <c r="L605">
        <v>0</v>
      </c>
      <c r="M605">
        <v>920</v>
      </c>
      <c r="O605">
        <v>32.008194000000003</v>
      </c>
      <c r="P605">
        <v>35.843443999999998</v>
      </c>
      <c r="Q605" t="s">
        <v>1891</v>
      </c>
      <c r="R605" t="s">
        <v>3660</v>
      </c>
      <c r="S605" t="s">
        <v>2579</v>
      </c>
      <c r="U605" t="s">
        <v>3661</v>
      </c>
      <c r="Y605" t="s">
        <v>30</v>
      </c>
      <c r="Z605" t="str">
        <f>IF(NOT("https://truemarkets3d.net/3d-virtual-tour/housingbank-realestate/phase3/aq-bld-100429/index.html" = ""), HYPERLINK("https://truemarkets3d.net/3d-virtual-tour/housingbank-realestate/phase3/aq-bld-100429/index.html", "جولة"), "")</f>
        <v>جولة</v>
      </c>
      <c r="AA605" t="str">
        <f>IF(NOT("https://maps.app.goo.gl/ZqdagQpyyJbkXfMf7" = ""), HYPERLINK("https://maps.app.goo.gl/ZqdagQpyyJbkXfMf7", "موقع"), "")</f>
        <v>موقع</v>
      </c>
    </row>
    <row r="606" spans="1:27" x14ac:dyDescent="0.3">
      <c r="A606" t="s">
        <v>1892</v>
      </c>
      <c r="B606" s="8">
        <v>46282.623217592591</v>
      </c>
      <c r="C606" t="s">
        <v>2</v>
      </c>
      <c r="D606" t="s">
        <v>451</v>
      </c>
      <c r="E606" t="s">
        <v>1894</v>
      </c>
      <c r="F606" t="s">
        <v>3662</v>
      </c>
      <c r="G606" t="s">
        <v>296</v>
      </c>
      <c r="H606" t="s">
        <v>1100</v>
      </c>
      <c r="I606" t="s">
        <v>1424</v>
      </c>
      <c r="J606" t="s">
        <v>1425</v>
      </c>
      <c r="K606" t="s">
        <v>1893</v>
      </c>
      <c r="L606">
        <v>0</v>
      </c>
      <c r="M606">
        <v>1175</v>
      </c>
      <c r="O606">
        <v>31.963611</v>
      </c>
      <c r="P606">
        <v>35.827221999999999</v>
      </c>
      <c r="Q606" t="s">
        <v>1895</v>
      </c>
      <c r="R606" t="s">
        <v>3663</v>
      </c>
      <c r="S606" t="s">
        <v>2579</v>
      </c>
      <c r="U606" t="s">
        <v>3664</v>
      </c>
      <c r="Y606" t="s">
        <v>30</v>
      </c>
      <c r="Z606" t="str">
        <f>IF(NOT("https://www.true-markets.net/media/360tour/housing-bank/1175/index.html" = ""), HYPERLINK("https://www.true-markets.net/media/360tour/housing-bank/1175/index.html", "جولة"), "")</f>
        <v>جولة</v>
      </c>
      <c r="AA606" t="str">
        <f>IF(NOT("https://maps.app.goo.gl/2aAmYmoF9Q1vtC9G6" = ""), HYPERLINK("https://maps.app.goo.gl/2aAmYmoF9Q1vtC9G6", "موقع"), "")</f>
        <v>موقع</v>
      </c>
    </row>
    <row r="607" spans="1:27" x14ac:dyDescent="0.3">
      <c r="A607" t="s">
        <v>1896</v>
      </c>
      <c r="B607" s="8">
        <v>46282.623217592591</v>
      </c>
      <c r="C607" t="s">
        <v>2</v>
      </c>
      <c r="D607" t="s">
        <v>451</v>
      </c>
      <c r="E607" t="s">
        <v>1475</v>
      </c>
      <c r="F607" t="s">
        <v>3665</v>
      </c>
      <c r="G607" t="s">
        <v>296</v>
      </c>
      <c r="H607" t="s">
        <v>1100</v>
      </c>
      <c r="I607" t="s">
        <v>1472</v>
      </c>
      <c r="J607" t="s">
        <v>1473</v>
      </c>
      <c r="K607" t="s">
        <v>1603</v>
      </c>
      <c r="L607">
        <v>0</v>
      </c>
      <c r="M607">
        <v>431</v>
      </c>
      <c r="O607">
        <v>31.900306</v>
      </c>
      <c r="P607">
        <v>35.828028000000003</v>
      </c>
      <c r="Q607" t="s">
        <v>1897</v>
      </c>
      <c r="S607" t="s">
        <v>2525</v>
      </c>
      <c r="U607" t="s">
        <v>3666</v>
      </c>
      <c r="Y607" t="s">
        <v>30</v>
      </c>
      <c r="Z607" t="s">
        <v>30</v>
      </c>
      <c r="AA607" t="str">
        <f>IF(NOT("https://maps.app.goo.gl/pTgVnDozAftarPw47" = ""), HYPERLINK("https://maps.app.goo.gl/pTgVnDozAftarPw47", "موقع"), "")</f>
        <v>موقع</v>
      </c>
    </row>
    <row r="608" spans="1:27" x14ac:dyDescent="0.3">
      <c r="A608" t="s">
        <v>1898</v>
      </c>
      <c r="B608" s="8">
        <v>46282.623217592591</v>
      </c>
      <c r="C608" t="s">
        <v>2</v>
      </c>
      <c r="D608" t="s">
        <v>451</v>
      </c>
      <c r="E608" t="s">
        <v>1342</v>
      </c>
      <c r="F608" t="s">
        <v>3667</v>
      </c>
      <c r="G608" t="s">
        <v>296</v>
      </c>
      <c r="H608" t="s">
        <v>1100</v>
      </c>
      <c r="I608" t="s">
        <v>1143</v>
      </c>
      <c r="J608" t="s">
        <v>1815</v>
      </c>
      <c r="K608" t="s">
        <v>1881</v>
      </c>
      <c r="L608">
        <v>0</v>
      </c>
      <c r="M608">
        <v>444</v>
      </c>
      <c r="Q608" t="s">
        <v>1899</v>
      </c>
      <c r="S608" t="s">
        <v>2525</v>
      </c>
      <c r="Y608" t="s">
        <v>30</v>
      </c>
      <c r="Z608" t="s">
        <v>30</v>
      </c>
      <c r="AA608" t="s">
        <v>30</v>
      </c>
    </row>
    <row r="609" spans="1:27" x14ac:dyDescent="0.3">
      <c r="A609" t="s">
        <v>1900</v>
      </c>
      <c r="B609" s="8">
        <v>46282.623217592591</v>
      </c>
      <c r="C609" t="s">
        <v>2</v>
      </c>
      <c r="D609" t="s">
        <v>451</v>
      </c>
      <c r="E609" t="s">
        <v>1903</v>
      </c>
      <c r="F609" t="s">
        <v>3668</v>
      </c>
      <c r="G609" t="s">
        <v>296</v>
      </c>
      <c r="H609" t="s">
        <v>1100</v>
      </c>
      <c r="I609" t="s">
        <v>1263</v>
      </c>
      <c r="J609" t="s">
        <v>1901</v>
      </c>
      <c r="K609" t="s">
        <v>1902</v>
      </c>
      <c r="L609">
        <v>0</v>
      </c>
      <c r="M609">
        <v>116</v>
      </c>
      <c r="O609">
        <v>31.996167</v>
      </c>
      <c r="P609">
        <v>35.819833000000003</v>
      </c>
      <c r="Q609" t="s">
        <v>1904</v>
      </c>
      <c r="S609" t="s">
        <v>2525</v>
      </c>
      <c r="U609" t="s">
        <v>3669</v>
      </c>
      <c r="Y609" t="s">
        <v>30</v>
      </c>
      <c r="Z609" t="s">
        <v>30</v>
      </c>
      <c r="AA609" t="str">
        <f>IF(NOT("https://maps.app.goo.gl/BSoFZbkYfW4U2jCf9" = ""), HYPERLINK("https://maps.app.goo.gl/BSoFZbkYfW4U2jCf9", "موقع"), "")</f>
        <v>موقع</v>
      </c>
    </row>
    <row r="610" spans="1:27" x14ac:dyDescent="0.3">
      <c r="A610" t="s">
        <v>1905</v>
      </c>
      <c r="B610" s="8">
        <v>46282.623217592591</v>
      </c>
      <c r="C610" t="s">
        <v>2</v>
      </c>
      <c r="D610" t="s">
        <v>451</v>
      </c>
      <c r="E610" t="s">
        <v>1493</v>
      </c>
      <c r="F610" t="s">
        <v>3670</v>
      </c>
      <c r="G610" t="s">
        <v>296</v>
      </c>
      <c r="H610" t="s">
        <v>1100</v>
      </c>
      <c r="I610" t="s">
        <v>1424</v>
      </c>
      <c r="J610" t="s">
        <v>1425</v>
      </c>
      <c r="K610" t="s">
        <v>1492</v>
      </c>
      <c r="L610">
        <v>0</v>
      </c>
      <c r="M610">
        <v>2090</v>
      </c>
      <c r="O610">
        <v>31.938860999999999</v>
      </c>
      <c r="P610">
        <v>35.868389000000001</v>
      </c>
      <c r="Q610" t="s">
        <v>1906</v>
      </c>
      <c r="S610" t="s">
        <v>2525</v>
      </c>
      <c r="U610" t="s">
        <v>3671</v>
      </c>
      <c r="Y610" t="s">
        <v>30</v>
      </c>
      <c r="Z610" t="s">
        <v>30</v>
      </c>
      <c r="AA610" t="str">
        <f>IF(NOT("https://maps.app.goo.gl/4j8ueU14nPypkbxx7" = ""), HYPERLINK("https://maps.app.goo.gl/4j8ueU14nPypkbxx7", "موقع"), "")</f>
        <v>موقع</v>
      </c>
    </row>
    <row r="611" spans="1:27" x14ac:dyDescent="0.3">
      <c r="A611" t="s">
        <v>1907</v>
      </c>
      <c r="B611" s="8">
        <v>46282.623217592591</v>
      </c>
      <c r="C611" t="s">
        <v>2</v>
      </c>
      <c r="D611" t="s">
        <v>451</v>
      </c>
      <c r="E611" t="s">
        <v>1817</v>
      </c>
      <c r="F611" t="s">
        <v>3672</v>
      </c>
      <c r="G611" t="s">
        <v>296</v>
      </c>
      <c r="H611" t="s">
        <v>1100</v>
      </c>
      <c r="I611" t="s">
        <v>1143</v>
      </c>
      <c r="J611" t="s">
        <v>1815</v>
      </c>
      <c r="K611" t="s">
        <v>1881</v>
      </c>
      <c r="L611">
        <v>0</v>
      </c>
      <c r="M611">
        <v>441</v>
      </c>
      <c r="Q611" t="s">
        <v>1908</v>
      </c>
      <c r="S611" t="s">
        <v>2525</v>
      </c>
      <c r="Y611" t="s">
        <v>30</v>
      </c>
      <c r="Z611" t="s">
        <v>30</v>
      </c>
      <c r="AA611" t="s">
        <v>30</v>
      </c>
    </row>
    <row r="612" spans="1:27" x14ac:dyDescent="0.3">
      <c r="A612" t="s">
        <v>1896</v>
      </c>
      <c r="B612" s="8">
        <v>46282.623217592591</v>
      </c>
      <c r="C612" t="s">
        <v>2</v>
      </c>
      <c r="D612" t="s">
        <v>451</v>
      </c>
      <c r="E612" t="s">
        <v>1475</v>
      </c>
      <c r="F612" t="s">
        <v>3665</v>
      </c>
      <c r="G612" t="s">
        <v>296</v>
      </c>
      <c r="H612" t="s">
        <v>1100</v>
      </c>
      <c r="I612" t="s">
        <v>1472</v>
      </c>
      <c r="J612" t="s">
        <v>1473</v>
      </c>
      <c r="K612" t="s">
        <v>1603</v>
      </c>
      <c r="L612">
        <v>0</v>
      </c>
      <c r="M612">
        <v>431</v>
      </c>
      <c r="O612">
        <v>31.900306</v>
      </c>
      <c r="P612">
        <v>35.828028000000003</v>
      </c>
      <c r="Q612" t="s">
        <v>1909</v>
      </c>
      <c r="S612" t="s">
        <v>2525</v>
      </c>
      <c r="U612" t="s">
        <v>3666</v>
      </c>
      <c r="Y612" t="s">
        <v>30</v>
      </c>
      <c r="Z612" t="s">
        <v>30</v>
      </c>
      <c r="AA612" t="str">
        <f>IF(NOT("https://maps.app.goo.gl/pTgVnDozAftarPw47" = ""), HYPERLINK("https://maps.app.goo.gl/pTgVnDozAftarPw47", "موقع"), "")</f>
        <v>موقع</v>
      </c>
    </row>
    <row r="613" spans="1:27" x14ac:dyDescent="0.3">
      <c r="A613" t="s">
        <v>1910</v>
      </c>
      <c r="B613" s="8">
        <v>46282.623217592591</v>
      </c>
      <c r="C613" t="s">
        <v>2</v>
      </c>
      <c r="D613" t="s">
        <v>469</v>
      </c>
      <c r="E613" t="s">
        <v>1803</v>
      </c>
      <c r="F613" t="s">
        <v>3673</v>
      </c>
      <c r="G613" t="s">
        <v>468</v>
      </c>
      <c r="H613" t="s">
        <v>1100</v>
      </c>
      <c r="I613" t="s">
        <v>1143</v>
      </c>
      <c r="J613" t="s">
        <v>1801</v>
      </c>
      <c r="K613" t="s">
        <v>1911</v>
      </c>
      <c r="L613">
        <v>0</v>
      </c>
      <c r="M613">
        <v>60</v>
      </c>
      <c r="N613">
        <v>20000</v>
      </c>
      <c r="O613">
        <v>31.827472</v>
      </c>
      <c r="P613">
        <v>35.965778</v>
      </c>
      <c r="Q613" t="s">
        <v>1912</v>
      </c>
      <c r="S613" t="s">
        <v>2525</v>
      </c>
      <c r="T613" t="s">
        <v>3674</v>
      </c>
      <c r="U613" t="s">
        <v>3675</v>
      </c>
      <c r="W613" t="s">
        <v>1913</v>
      </c>
      <c r="Y613" t="s">
        <v>30</v>
      </c>
      <c r="Z613" t="s">
        <v>30</v>
      </c>
      <c r="AA613" t="str">
        <f>IF(NOT("https://maps.app.goo.gl/xWvhhPpLzNgGCCHT6" = ""), HYPERLINK("https://maps.app.goo.gl/xWvhhPpLzNgGCCHT6", "موقع"), "")</f>
        <v>موقع</v>
      </c>
    </row>
    <row r="614" spans="1:27" x14ac:dyDescent="0.3">
      <c r="A614" t="s">
        <v>1914</v>
      </c>
      <c r="B614" s="8">
        <v>46282.623217592591</v>
      </c>
      <c r="C614" t="s">
        <v>2</v>
      </c>
      <c r="D614" t="s">
        <v>469</v>
      </c>
      <c r="E614" t="s">
        <v>1803</v>
      </c>
      <c r="F614" t="s">
        <v>3676</v>
      </c>
      <c r="G614" t="s">
        <v>468</v>
      </c>
      <c r="H614" t="s">
        <v>1100</v>
      </c>
      <c r="I614" t="s">
        <v>1143</v>
      </c>
      <c r="J614" t="s">
        <v>1801</v>
      </c>
      <c r="K614" t="s">
        <v>1911</v>
      </c>
      <c r="L614">
        <v>0</v>
      </c>
      <c r="M614">
        <v>80</v>
      </c>
      <c r="N614">
        <v>21000</v>
      </c>
      <c r="O614">
        <v>31.828056</v>
      </c>
      <c r="P614">
        <v>35.965167000000001</v>
      </c>
      <c r="Q614" t="s">
        <v>1915</v>
      </c>
      <c r="S614" t="s">
        <v>2525</v>
      </c>
      <c r="T614" t="s">
        <v>3677</v>
      </c>
      <c r="U614" t="s">
        <v>3678</v>
      </c>
      <c r="W614" t="s">
        <v>1916</v>
      </c>
      <c r="Y614" t="s">
        <v>30</v>
      </c>
      <c r="Z614" t="s">
        <v>30</v>
      </c>
      <c r="AA614" t="str">
        <f>IF(NOT("https://maps.app.goo.gl/Gtpt8xaACQYT3XueA" = ""), HYPERLINK("https://maps.app.goo.gl/Gtpt8xaACQYT3XueA", "موقع"), "")</f>
        <v>موقع</v>
      </c>
    </row>
    <row r="615" spans="1:27" x14ac:dyDescent="0.3">
      <c r="A615" t="s">
        <v>1917</v>
      </c>
      <c r="B615" s="8">
        <v>46282.623217592591</v>
      </c>
      <c r="C615" t="s">
        <v>2</v>
      </c>
      <c r="D615" t="s">
        <v>469</v>
      </c>
      <c r="E615" t="s">
        <v>1919</v>
      </c>
      <c r="F615" t="s">
        <v>3679</v>
      </c>
      <c r="G615" t="s">
        <v>468</v>
      </c>
      <c r="H615" t="s">
        <v>1100</v>
      </c>
      <c r="I615" t="s">
        <v>1263</v>
      </c>
      <c r="J615" t="s">
        <v>1309</v>
      </c>
      <c r="K615" t="s">
        <v>1918</v>
      </c>
      <c r="L615">
        <v>0</v>
      </c>
      <c r="M615">
        <v>397</v>
      </c>
      <c r="N615">
        <v>23000</v>
      </c>
      <c r="Q615" t="s">
        <v>1920</v>
      </c>
      <c r="S615" t="s">
        <v>2525</v>
      </c>
      <c r="W615" t="s">
        <v>1921</v>
      </c>
      <c r="Y615" t="s">
        <v>30</v>
      </c>
      <c r="Z615" t="s">
        <v>30</v>
      </c>
      <c r="AA615" t="s">
        <v>30</v>
      </c>
    </row>
    <row r="616" spans="1:27" x14ac:dyDescent="0.3">
      <c r="A616" t="s">
        <v>1922</v>
      </c>
      <c r="B616" s="8">
        <v>46282.623217592591</v>
      </c>
      <c r="C616" t="s">
        <v>2</v>
      </c>
      <c r="D616" t="s">
        <v>469</v>
      </c>
      <c r="E616" t="s">
        <v>1803</v>
      </c>
      <c r="F616" t="s">
        <v>3680</v>
      </c>
      <c r="G616" t="s">
        <v>468</v>
      </c>
      <c r="H616" t="s">
        <v>1100</v>
      </c>
      <c r="I616" t="s">
        <v>1143</v>
      </c>
      <c r="J616" t="s">
        <v>1801</v>
      </c>
      <c r="K616" t="s">
        <v>1911</v>
      </c>
      <c r="L616">
        <v>0</v>
      </c>
      <c r="M616">
        <v>61</v>
      </c>
      <c r="N616">
        <v>23000</v>
      </c>
      <c r="O616">
        <v>31.827193999999999</v>
      </c>
      <c r="P616">
        <v>35.965639000000003</v>
      </c>
      <c r="Q616" t="s">
        <v>1054</v>
      </c>
      <c r="S616" t="s">
        <v>2525</v>
      </c>
      <c r="T616" t="s">
        <v>3674</v>
      </c>
      <c r="U616" t="s">
        <v>3681</v>
      </c>
      <c r="W616" t="s">
        <v>1923</v>
      </c>
      <c r="Y616" t="s">
        <v>30</v>
      </c>
      <c r="Z616" t="s">
        <v>30</v>
      </c>
      <c r="AA616" t="str">
        <f>IF(NOT("https://maps.app.goo.gl/jYJ6GS7CYZLeL1ci8" = ""), HYPERLINK("https://maps.app.goo.gl/jYJ6GS7CYZLeL1ci8", "موقع"), "")</f>
        <v>موقع</v>
      </c>
    </row>
    <row r="617" spans="1:27" x14ac:dyDescent="0.3">
      <c r="A617" t="s">
        <v>1924</v>
      </c>
      <c r="B617" s="8">
        <v>46282.623217592591</v>
      </c>
      <c r="C617" t="s">
        <v>2</v>
      </c>
      <c r="D617" t="s">
        <v>469</v>
      </c>
      <c r="E617" t="s">
        <v>1803</v>
      </c>
      <c r="F617" t="s">
        <v>3682</v>
      </c>
      <c r="G617" t="s">
        <v>468</v>
      </c>
      <c r="H617" t="s">
        <v>1100</v>
      </c>
      <c r="I617" t="s">
        <v>1143</v>
      </c>
      <c r="J617" t="s">
        <v>1801</v>
      </c>
      <c r="K617" t="s">
        <v>1911</v>
      </c>
      <c r="L617">
        <v>0</v>
      </c>
      <c r="M617">
        <v>70</v>
      </c>
      <c r="N617">
        <v>25000</v>
      </c>
      <c r="O617">
        <v>31.827694000000001</v>
      </c>
      <c r="P617">
        <v>35.965443999999998</v>
      </c>
      <c r="Q617" t="s">
        <v>1925</v>
      </c>
      <c r="S617" t="s">
        <v>2525</v>
      </c>
      <c r="T617" t="s">
        <v>3674</v>
      </c>
      <c r="U617" t="s">
        <v>3683</v>
      </c>
      <c r="W617" t="s">
        <v>1926</v>
      </c>
      <c r="Y617" t="s">
        <v>30</v>
      </c>
      <c r="Z617" t="s">
        <v>30</v>
      </c>
      <c r="AA617" t="str">
        <f>IF(NOT("https://maps.app.goo.gl/LjLqjmFroMsT1p427" = ""), HYPERLINK("https://maps.app.goo.gl/LjLqjmFroMsT1p427", "موقع"), "")</f>
        <v>موقع</v>
      </c>
    </row>
    <row r="618" spans="1:27" x14ac:dyDescent="0.3">
      <c r="A618" t="s">
        <v>1927</v>
      </c>
      <c r="B618" s="8">
        <v>46282.623217592591</v>
      </c>
      <c r="C618" t="s">
        <v>2</v>
      </c>
      <c r="D618" t="s">
        <v>469</v>
      </c>
      <c r="E618" t="s">
        <v>1803</v>
      </c>
      <c r="F618" t="s">
        <v>3684</v>
      </c>
      <c r="G618" t="s">
        <v>468</v>
      </c>
      <c r="H618" t="s">
        <v>1100</v>
      </c>
      <c r="I618" t="s">
        <v>1143</v>
      </c>
      <c r="J618" t="s">
        <v>1801</v>
      </c>
      <c r="K618" t="s">
        <v>1911</v>
      </c>
      <c r="L618">
        <v>0</v>
      </c>
      <c r="M618">
        <v>45</v>
      </c>
      <c r="N618">
        <v>27000</v>
      </c>
      <c r="O618">
        <v>31.828555999999999</v>
      </c>
      <c r="P618">
        <v>35.966222000000002</v>
      </c>
      <c r="Q618" t="s">
        <v>1928</v>
      </c>
      <c r="S618" t="s">
        <v>2525</v>
      </c>
      <c r="T618" t="s">
        <v>3674</v>
      </c>
      <c r="U618" t="s">
        <v>3685</v>
      </c>
      <c r="W618" t="s">
        <v>1929</v>
      </c>
      <c r="Y618" t="s">
        <v>30</v>
      </c>
      <c r="Z618" t="s">
        <v>30</v>
      </c>
      <c r="AA618" t="str">
        <f>IF(NOT("https://maps.app.goo.gl/MnzGw7gXvVmfvBmLA" = ""), HYPERLINK("https://maps.app.goo.gl/MnzGw7gXvVmfvBmLA", "موقع"), "")</f>
        <v>موقع</v>
      </c>
    </row>
    <row r="619" spans="1:27" x14ac:dyDescent="0.3">
      <c r="A619" t="s">
        <v>1930</v>
      </c>
      <c r="B619" s="8">
        <v>46282.623217592591</v>
      </c>
      <c r="C619" t="s">
        <v>2</v>
      </c>
      <c r="D619" t="s">
        <v>469</v>
      </c>
      <c r="E619" t="s">
        <v>1311</v>
      </c>
      <c r="F619" t="s">
        <v>3686</v>
      </c>
      <c r="G619" t="s">
        <v>468</v>
      </c>
      <c r="H619" t="s">
        <v>1100</v>
      </c>
      <c r="I619" t="s">
        <v>1263</v>
      </c>
      <c r="J619" t="s">
        <v>1309</v>
      </c>
      <c r="K619" t="s">
        <v>1918</v>
      </c>
      <c r="L619">
        <v>0</v>
      </c>
      <c r="M619">
        <v>404</v>
      </c>
      <c r="N619">
        <v>29000</v>
      </c>
      <c r="Q619" t="s">
        <v>1931</v>
      </c>
      <c r="S619" t="s">
        <v>2525</v>
      </c>
      <c r="W619" t="s">
        <v>1932</v>
      </c>
      <c r="Y619" t="s">
        <v>30</v>
      </c>
      <c r="Z619" t="s">
        <v>30</v>
      </c>
      <c r="AA619" t="s">
        <v>30</v>
      </c>
    </row>
    <row r="620" spans="1:27" x14ac:dyDescent="0.3">
      <c r="A620" t="s">
        <v>1933</v>
      </c>
      <c r="B620" s="8">
        <v>46282.623217592591</v>
      </c>
      <c r="C620" t="s">
        <v>2</v>
      </c>
      <c r="D620" t="s">
        <v>469</v>
      </c>
      <c r="E620" t="s">
        <v>1803</v>
      </c>
      <c r="F620" t="s">
        <v>3687</v>
      </c>
      <c r="G620" t="s">
        <v>468</v>
      </c>
      <c r="H620" t="s">
        <v>1100</v>
      </c>
      <c r="I620" t="s">
        <v>1143</v>
      </c>
      <c r="J620" t="s">
        <v>1801</v>
      </c>
      <c r="K620" t="s">
        <v>1911</v>
      </c>
      <c r="L620">
        <v>0</v>
      </c>
      <c r="M620">
        <v>74</v>
      </c>
      <c r="N620">
        <v>31000</v>
      </c>
      <c r="O620">
        <v>31.826917000000002</v>
      </c>
      <c r="P620">
        <v>35.965027999999997</v>
      </c>
      <c r="Q620" t="s">
        <v>1934</v>
      </c>
      <c r="S620" t="s">
        <v>2525</v>
      </c>
      <c r="T620" t="s">
        <v>3674</v>
      </c>
      <c r="U620" t="s">
        <v>3688</v>
      </c>
      <c r="W620" t="s">
        <v>1935</v>
      </c>
      <c r="Y620" t="s">
        <v>30</v>
      </c>
      <c r="Z620" t="s">
        <v>30</v>
      </c>
      <c r="AA620" t="str">
        <f>IF(NOT("https://maps.app.goo.gl/v9f3f9AzTj5z6k2M8" = ""), HYPERLINK("https://maps.app.goo.gl/v9f3f9AzTj5z6k2M8", "موقع"), "")</f>
        <v>موقع</v>
      </c>
    </row>
    <row r="621" spans="1:27" x14ac:dyDescent="0.3">
      <c r="A621" t="s">
        <v>1936</v>
      </c>
      <c r="B621" s="8">
        <v>46282.623217592591</v>
      </c>
      <c r="C621" t="s">
        <v>2</v>
      </c>
      <c r="D621" t="s">
        <v>469</v>
      </c>
      <c r="E621" t="s">
        <v>1146</v>
      </c>
      <c r="F621" t="s">
        <v>3689</v>
      </c>
      <c r="G621" t="s">
        <v>468</v>
      </c>
      <c r="H621" t="s">
        <v>1100</v>
      </c>
      <c r="I621" t="s">
        <v>1143</v>
      </c>
      <c r="J621" t="s">
        <v>1810</v>
      </c>
      <c r="K621" t="s">
        <v>1937</v>
      </c>
      <c r="L621">
        <v>0</v>
      </c>
      <c r="M621">
        <v>486</v>
      </c>
      <c r="N621">
        <v>40000</v>
      </c>
      <c r="O621">
        <v>31.879443999999999</v>
      </c>
      <c r="P621">
        <v>35.998750000000001</v>
      </c>
      <c r="Q621" t="s">
        <v>1938</v>
      </c>
      <c r="S621" t="s">
        <v>2525</v>
      </c>
      <c r="U621" t="s">
        <v>3690</v>
      </c>
      <c r="W621" t="s">
        <v>1939</v>
      </c>
      <c r="Y621" t="s">
        <v>30</v>
      </c>
      <c r="Z621" t="s">
        <v>30</v>
      </c>
      <c r="AA621" t="str">
        <f>IF(NOT("https://maps.app.goo.gl/oadyidXTo78f7Y3T8" = ""), HYPERLINK("https://maps.app.goo.gl/oadyidXTo78f7Y3T8", "موقع"), "")</f>
        <v>موقع</v>
      </c>
    </row>
    <row r="622" spans="1:27" x14ac:dyDescent="0.3">
      <c r="A622" t="s">
        <v>1940</v>
      </c>
      <c r="B622" s="8">
        <v>46282.623217592591</v>
      </c>
      <c r="C622" t="s">
        <v>2</v>
      </c>
      <c r="D622" t="s">
        <v>469</v>
      </c>
      <c r="E622" t="s">
        <v>1357</v>
      </c>
      <c r="F622" t="s">
        <v>3691</v>
      </c>
      <c r="G622" t="s">
        <v>468</v>
      </c>
      <c r="H622" t="s">
        <v>1100</v>
      </c>
      <c r="I622" t="s">
        <v>1143</v>
      </c>
      <c r="J622" t="s">
        <v>1153</v>
      </c>
      <c r="K622" t="s">
        <v>1356</v>
      </c>
      <c r="L622">
        <v>0</v>
      </c>
      <c r="M622">
        <v>2179</v>
      </c>
      <c r="N622">
        <v>42000</v>
      </c>
      <c r="O622">
        <v>31.925611</v>
      </c>
      <c r="P622">
        <v>35.974139000000001</v>
      </c>
      <c r="Q622" t="s">
        <v>1941</v>
      </c>
      <c r="S622" t="s">
        <v>2525</v>
      </c>
      <c r="T622" t="s">
        <v>3692</v>
      </c>
      <c r="U622" t="s">
        <v>3693</v>
      </c>
      <c r="W622" t="s">
        <v>1942</v>
      </c>
      <c r="Y622" t="s">
        <v>30</v>
      </c>
      <c r="Z622" t="s">
        <v>30</v>
      </c>
      <c r="AA622" t="str">
        <f>IF(NOT("https://maps.app.goo.gl/gqfMFVdFKwuCKU136" = ""), HYPERLINK("https://maps.app.goo.gl/gqfMFVdFKwuCKU136", "موقع"), "")</f>
        <v>موقع</v>
      </c>
    </row>
    <row r="623" spans="1:27" x14ac:dyDescent="0.3">
      <c r="A623" t="s">
        <v>1943</v>
      </c>
      <c r="B623" s="8">
        <v>46282.623217592591</v>
      </c>
      <c r="C623" t="s">
        <v>2</v>
      </c>
      <c r="D623" t="s">
        <v>469</v>
      </c>
      <c r="E623" t="s">
        <v>1867</v>
      </c>
      <c r="F623" t="s">
        <v>3694</v>
      </c>
      <c r="G623" t="s">
        <v>468</v>
      </c>
      <c r="H623" t="s">
        <v>1100</v>
      </c>
      <c r="I623" t="s">
        <v>1143</v>
      </c>
      <c r="J623" t="s">
        <v>1865</v>
      </c>
      <c r="K623" t="s">
        <v>1944</v>
      </c>
      <c r="M623">
        <v>369</v>
      </c>
      <c r="N623">
        <v>43000</v>
      </c>
      <c r="O623">
        <v>31.746721999999998</v>
      </c>
      <c r="P623">
        <v>35.930805999999997</v>
      </c>
      <c r="Q623" t="s">
        <v>1945</v>
      </c>
      <c r="S623" t="s">
        <v>2525</v>
      </c>
      <c r="U623" t="s">
        <v>3695</v>
      </c>
      <c r="W623" t="s">
        <v>1946</v>
      </c>
      <c r="Y623" t="s">
        <v>30</v>
      </c>
      <c r="Z623" t="s">
        <v>30</v>
      </c>
      <c r="AA623" t="str">
        <f>IF(NOT("https://maps.app.goo.gl/ctoAw4Jkaa46Hgc4A" = ""), HYPERLINK("https://maps.app.goo.gl/ctoAw4Jkaa46Hgc4A", "موقع"), "")</f>
        <v>موقع</v>
      </c>
    </row>
    <row r="624" spans="1:27" x14ac:dyDescent="0.3">
      <c r="A624" t="s">
        <v>1947</v>
      </c>
      <c r="B624" s="8">
        <v>46282.623217592591</v>
      </c>
      <c r="C624" t="s">
        <v>2</v>
      </c>
      <c r="D624" t="s">
        <v>469</v>
      </c>
      <c r="E624" t="s">
        <v>1867</v>
      </c>
      <c r="F624" t="s">
        <v>3694</v>
      </c>
      <c r="G624" t="s">
        <v>468</v>
      </c>
      <c r="H624" t="s">
        <v>1100</v>
      </c>
      <c r="I624" t="s">
        <v>1143</v>
      </c>
      <c r="J624" t="s">
        <v>1865</v>
      </c>
      <c r="K624" t="s">
        <v>1944</v>
      </c>
      <c r="L624">
        <v>0</v>
      </c>
      <c r="M624">
        <v>366</v>
      </c>
      <c r="N624">
        <v>43000</v>
      </c>
      <c r="O624">
        <v>31.745971999999998</v>
      </c>
      <c r="P624">
        <v>35.930943999999997</v>
      </c>
      <c r="Q624" t="s">
        <v>1945</v>
      </c>
      <c r="S624" t="s">
        <v>2525</v>
      </c>
      <c r="U624" t="s">
        <v>3696</v>
      </c>
      <c r="W624" t="s">
        <v>1946</v>
      </c>
      <c r="Y624" t="s">
        <v>30</v>
      </c>
      <c r="Z624" t="s">
        <v>30</v>
      </c>
      <c r="AA624" t="str">
        <f>IF(NOT("https://maps.app.goo.gl/G2fb3rHM3ERigRXU6" = ""), HYPERLINK("https://maps.app.goo.gl/G2fb3rHM3ERigRXU6", "موقع"), "")</f>
        <v>موقع</v>
      </c>
    </row>
    <row r="625" spans="1:27" x14ac:dyDescent="0.3">
      <c r="A625" t="s">
        <v>1948</v>
      </c>
      <c r="B625" s="8">
        <v>46282.623217592591</v>
      </c>
      <c r="C625" t="s">
        <v>2</v>
      </c>
      <c r="D625" t="s">
        <v>469</v>
      </c>
      <c r="E625" t="s">
        <v>1867</v>
      </c>
      <c r="F625" t="s">
        <v>3694</v>
      </c>
      <c r="G625" t="s">
        <v>468</v>
      </c>
      <c r="H625" t="s">
        <v>1100</v>
      </c>
      <c r="I625" t="s">
        <v>1143</v>
      </c>
      <c r="J625" t="s">
        <v>1865</v>
      </c>
      <c r="K625" t="s">
        <v>1944</v>
      </c>
      <c r="L625">
        <v>0</v>
      </c>
      <c r="M625">
        <v>368</v>
      </c>
      <c r="N625">
        <v>43000</v>
      </c>
      <c r="O625">
        <v>31.746472000000001</v>
      </c>
      <c r="P625">
        <v>35.930861</v>
      </c>
      <c r="Q625" t="s">
        <v>1945</v>
      </c>
      <c r="S625" t="s">
        <v>2525</v>
      </c>
      <c r="U625" t="s">
        <v>3697</v>
      </c>
      <c r="W625" t="s">
        <v>1946</v>
      </c>
      <c r="Y625" t="s">
        <v>30</v>
      </c>
      <c r="Z625" t="s">
        <v>30</v>
      </c>
      <c r="AA625" t="str">
        <f>IF(NOT("https://maps.app.goo.gl/MsMohh799Nax7peE9" = ""), HYPERLINK("https://maps.app.goo.gl/MsMohh799Nax7peE9", "موقع"), "")</f>
        <v>موقع</v>
      </c>
    </row>
    <row r="626" spans="1:27" x14ac:dyDescent="0.3">
      <c r="A626" t="s">
        <v>1949</v>
      </c>
      <c r="B626" s="8">
        <v>46282.623217592591</v>
      </c>
      <c r="C626" t="s">
        <v>2</v>
      </c>
      <c r="D626" t="s">
        <v>469</v>
      </c>
      <c r="E626" t="s">
        <v>1867</v>
      </c>
      <c r="F626" t="s">
        <v>3694</v>
      </c>
      <c r="G626" t="s">
        <v>468</v>
      </c>
      <c r="H626" t="s">
        <v>1100</v>
      </c>
      <c r="I626" t="s">
        <v>1143</v>
      </c>
      <c r="J626" t="s">
        <v>1865</v>
      </c>
      <c r="K626" t="s">
        <v>1944</v>
      </c>
      <c r="M626">
        <v>365</v>
      </c>
      <c r="N626">
        <v>43000</v>
      </c>
      <c r="O626">
        <v>31.745750000000001</v>
      </c>
      <c r="P626">
        <v>35.930971999999997</v>
      </c>
      <c r="Q626" t="s">
        <v>1945</v>
      </c>
      <c r="S626" t="s">
        <v>2525</v>
      </c>
      <c r="U626" t="s">
        <v>3698</v>
      </c>
      <c r="W626" t="s">
        <v>1946</v>
      </c>
      <c r="Y626" t="s">
        <v>30</v>
      </c>
      <c r="Z626" t="s">
        <v>30</v>
      </c>
      <c r="AA626" t="str">
        <f>IF(NOT("https://maps.app.goo.gl/DLkn8jXwXZdZCBnZ7" = ""), HYPERLINK("https://maps.app.goo.gl/DLkn8jXwXZdZCBnZ7", "موقع"), "")</f>
        <v>موقع</v>
      </c>
    </row>
    <row r="627" spans="1:27" x14ac:dyDescent="0.3">
      <c r="A627" t="s">
        <v>1950</v>
      </c>
      <c r="B627" s="8">
        <v>46282.623217592591</v>
      </c>
      <c r="C627" t="s">
        <v>2</v>
      </c>
      <c r="D627" t="s">
        <v>469</v>
      </c>
      <c r="E627" t="s">
        <v>1867</v>
      </c>
      <c r="F627" t="s">
        <v>3694</v>
      </c>
      <c r="G627" t="s">
        <v>468</v>
      </c>
      <c r="H627" t="s">
        <v>1100</v>
      </c>
      <c r="I627" t="s">
        <v>1143</v>
      </c>
      <c r="J627" t="s">
        <v>1865</v>
      </c>
      <c r="K627" t="s">
        <v>1944</v>
      </c>
      <c r="M627">
        <v>367</v>
      </c>
      <c r="N627">
        <v>43000</v>
      </c>
      <c r="O627">
        <v>31.746221999999999</v>
      </c>
      <c r="P627">
        <v>35.930889000000001</v>
      </c>
      <c r="Q627" t="s">
        <v>1945</v>
      </c>
      <c r="S627" t="s">
        <v>2525</v>
      </c>
      <c r="U627" t="s">
        <v>3699</v>
      </c>
      <c r="W627" t="s">
        <v>1946</v>
      </c>
      <c r="Y627" t="s">
        <v>30</v>
      </c>
      <c r="Z627" t="s">
        <v>30</v>
      </c>
      <c r="AA627" t="str">
        <f>IF(NOT("https://maps.app.goo.gl/QKNp28Eedx1nXDfQ7" = ""), HYPERLINK("https://maps.app.goo.gl/QKNp28Eedx1nXDfQ7", "موقع"), "")</f>
        <v>موقع</v>
      </c>
    </row>
    <row r="628" spans="1:27" x14ac:dyDescent="0.3">
      <c r="A628" t="s">
        <v>1951</v>
      </c>
      <c r="B628" s="8">
        <v>46282.623217592591</v>
      </c>
      <c r="C628" t="s">
        <v>2</v>
      </c>
      <c r="D628" t="s">
        <v>469</v>
      </c>
      <c r="E628" t="s">
        <v>1867</v>
      </c>
      <c r="F628" t="s">
        <v>3694</v>
      </c>
      <c r="G628" t="s">
        <v>468</v>
      </c>
      <c r="H628" t="s">
        <v>1100</v>
      </c>
      <c r="I628" t="s">
        <v>1143</v>
      </c>
      <c r="J628" t="s">
        <v>1865</v>
      </c>
      <c r="K628" t="s">
        <v>1944</v>
      </c>
      <c r="L628">
        <v>0</v>
      </c>
      <c r="M628">
        <v>372</v>
      </c>
      <c r="N628">
        <v>52000</v>
      </c>
      <c r="O628">
        <v>31.746278</v>
      </c>
      <c r="P628">
        <v>35.931305999999999</v>
      </c>
      <c r="Q628" t="s">
        <v>1952</v>
      </c>
      <c r="S628" t="s">
        <v>2525</v>
      </c>
      <c r="U628" t="s">
        <v>3700</v>
      </c>
      <c r="W628" t="s">
        <v>1953</v>
      </c>
      <c r="Y628" t="s">
        <v>30</v>
      </c>
      <c r="Z628" t="s">
        <v>30</v>
      </c>
      <c r="AA628" t="str">
        <f>IF(NOT("https://maps.app.goo.gl/quRGiowxTBpUyEtaA" = ""), HYPERLINK("https://maps.app.goo.gl/quRGiowxTBpUyEtaA", "موقع"), "")</f>
        <v>موقع</v>
      </c>
    </row>
    <row r="629" spans="1:27" x14ac:dyDescent="0.3">
      <c r="A629" t="s">
        <v>1954</v>
      </c>
      <c r="B629" s="8">
        <v>46282.623217592591</v>
      </c>
      <c r="C629" t="s">
        <v>2</v>
      </c>
      <c r="D629" t="s">
        <v>469</v>
      </c>
      <c r="E629" t="s">
        <v>1867</v>
      </c>
      <c r="F629" t="s">
        <v>3694</v>
      </c>
      <c r="G629" t="s">
        <v>468</v>
      </c>
      <c r="H629" t="s">
        <v>1100</v>
      </c>
      <c r="I629" t="s">
        <v>1143</v>
      </c>
      <c r="J629" t="s">
        <v>1865</v>
      </c>
      <c r="K629" t="s">
        <v>1944</v>
      </c>
      <c r="M629">
        <v>371</v>
      </c>
      <c r="N629">
        <v>52000</v>
      </c>
      <c r="Q629" t="s">
        <v>1952</v>
      </c>
      <c r="S629" t="s">
        <v>2525</v>
      </c>
      <c r="W629" t="s">
        <v>1953</v>
      </c>
      <c r="Y629" t="s">
        <v>30</v>
      </c>
      <c r="Z629" t="s">
        <v>30</v>
      </c>
      <c r="AA629" t="s">
        <v>30</v>
      </c>
    </row>
    <row r="630" spans="1:27" x14ac:dyDescent="0.3">
      <c r="A630" t="s">
        <v>1955</v>
      </c>
      <c r="B630" s="8">
        <v>46282.623217592591</v>
      </c>
      <c r="C630" t="s">
        <v>2</v>
      </c>
      <c r="D630" t="s">
        <v>469</v>
      </c>
      <c r="E630" t="s">
        <v>1867</v>
      </c>
      <c r="F630" t="s">
        <v>3694</v>
      </c>
      <c r="G630" t="s">
        <v>468</v>
      </c>
      <c r="H630" t="s">
        <v>1100</v>
      </c>
      <c r="I630" t="s">
        <v>1143</v>
      </c>
      <c r="J630" t="s">
        <v>1865</v>
      </c>
      <c r="K630" t="s">
        <v>1944</v>
      </c>
      <c r="M630">
        <v>373</v>
      </c>
      <c r="N630">
        <v>52000</v>
      </c>
      <c r="O630">
        <v>31.746082999999999</v>
      </c>
      <c r="P630">
        <v>35.931333000000002</v>
      </c>
      <c r="Q630" t="s">
        <v>1952</v>
      </c>
      <c r="S630" t="s">
        <v>2525</v>
      </c>
      <c r="U630" t="s">
        <v>3701</v>
      </c>
      <c r="W630" t="s">
        <v>1953</v>
      </c>
      <c r="Y630" t="s">
        <v>30</v>
      </c>
      <c r="Z630" t="s">
        <v>30</v>
      </c>
      <c r="AA630" t="str">
        <f>IF(NOT("https://maps.app.goo.gl/SPn5LMUHdYbS6B7u8" = ""), HYPERLINK("https://maps.app.goo.gl/SPn5LMUHdYbS6B7u8", "موقع"), "")</f>
        <v>موقع</v>
      </c>
    </row>
    <row r="631" spans="1:27" x14ac:dyDescent="0.3">
      <c r="A631" t="s">
        <v>1956</v>
      </c>
      <c r="B631" s="8">
        <v>46282.623217592591</v>
      </c>
      <c r="C631" t="s">
        <v>2</v>
      </c>
      <c r="D631" t="s">
        <v>469</v>
      </c>
      <c r="E631" t="s">
        <v>1867</v>
      </c>
      <c r="F631" t="s">
        <v>3694</v>
      </c>
      <c r="G631" t="s">
        <v>468</v>
      </c>
      <c r="H631" t="s">
        <v>1100</v>
      </c>
      <c r="I631" t="s">
        <v>1143</v>
      </c>
      <c r="J631" t="s">
        <v>1865</v>
      </c>
      <c r="K631" t="s">
        <v>1944</v>
      </c>
      <c r="M631">
        <v>370</v>
      </c>
      <c r="N631">
        <v>57000</v>
      </c>
      <c r="O631">
        <v>31.746666999999999</v>
      </c>
      <c r="P631">
        <v>35.931249999999999</v>
      </c>
      <c r="Q631" t="s">
        <v>1952</v>
      </c>
      <c r="S631" t="s">
        <v>2525</v>
      </c>
      <c r="U631" t="s">
        <v>3702</v>
      </c>
      <c r="W631" t="s">
        <v>1953</v>
      </c>
      <c r="Y631" t="s">
        <v>30</v>
      </c>
      <c r="Z631" t="s">
        <v>30</v>
      </c>
      <c r="AA631" t="str">
        <f>IF(NOT("https://maps.app.goo.gl/U66AiAFSv7aRNDwH6" = ""), HYPERLINK("https://maps.app.goo.gl/U66AiAFSv7aRNDwH6", "موقع"), "")</f>
        <v>موقع</v>
      </c>
    </row>
    <row r="632" spans="1:27" x14ac:dyDescent="0.3">
      <c r="A632" t="s">
        <v>1957</v>
      </c>
      <c r="B632" s="8">
        <v>46282.623217592591</v>
      </c>
      <c r="C632" t="s">
        <v>2</v>
      </c>
      <c r="D632" t="s">
        <v>469</v>
      </c>
      <c r="E632" t="s">
        <v>1867</v>
      </c>
      <c r="F632" t="s">
        <v>3694</v>
      </c>
      <c r="G632" t="s">
        <v>468</v>
      </c>
      <c r="H632" t="s">
        <v>1100</v>
      </c>
      <c r="I632" t="s">
        <v>1143</v>
      </c>
      <c r="J632" t="s">
        <v>1865</v>
      </c>
      <c r="K632" t="s">
        <v>1944</v>
      </c>
      <c r="M632">
        <v>374</v>
      </c>
      <c r="N632">
        <v>57000</v>
      </c>
      <c r="O632">
        <v>31.745888999999998</v>
      </c>
      <c r="P632">
        <v>35.931361000000003</v>
      </c>
      <c r="Q632" t="s">
        <v>1952</v>
      </c>
      <c r="S632" t="s">
        <v>2525</v>
      </c>
      <c r="U632" t="s">
        <v>3703</v>
      </c>
      <c r="W632" t="s">
        <v>1953</v>
      </c>
      <c r="Y632" t="s">
        <v>30</v>
      </c>
      <c r="Z632" t="s">
        <v>30</v>
      </c>
      <c r="AA632" t="str">
        <f>IF(NOT("https://maps.app.goo.gl/zFHBHzz42MZHGNa2A" = ""), HYPERLINK("https://maps.app.goo.gl/zFHBHzz42MZHGNa2A", "موقع"), "")</f>
        <v>موقع</v>
      </c>
    </row>
    <row r="633" spans="1:27" x14ac:dyDescent="0.3">
      <c r="A633" t="s">
        <v>1958</v>
      </c>
      <c r="B633" s="8">
        <v>46282.623217592591</v>
      </c>
      <c r="C633" t="s">
        <v>2</v>
      </c>
      <c r="D633" t="s">
        <v>469</v>
      </c>
      <c r="E633" t="s">
        <v>1311</v>
      </c>
      <c r="F633" t="s">
        <v>3704</v>
      </c>
      <c r="G633" t="s">
        <v>468</v>
      </c>
      <c r="H633" t="s">
        <v>1100</v>
      </c>
      <c r="I633" t="s">
        <v>1263</v>
      </c>
      <c r="J633" t="s">
        <v>1309</v>
      </c>
      <c r="K633" t="s">
        <v>84</v>
      </c>
      <c r="L633">
        <v>0</v>
      </c>
      <c r="M633">
        <v>96</v>
      </c>
      <c r="N633">
        <v>63000</v>
      </c>
      <c r="O633">
        <v>32.075611000000002</v>
      </c>
      <c r="P633">
        <v>35.862056000000003</v>
      </c>
      <c r="Q633" t="s">
        <v>1845</v>
      </c>
      <c r="S633" t="s">
        <v>2525</v>
      </c>
      <c r="T633" t="s">
        <v>3705</v>
      </c>
      <c r="U633" t="s">
        <v>3706</v>
      </c>
      <c r="W633" t="s">
        <v>1959</v>
      </c>
      <c r="Y633" t="s">
        <v>30</v>
      </c>
      <c r="Z633" t="s">
        <v>30</v>
      </c>
      <c r="AA633" t="str">
        <f>IF(NOT("https://maps.app.goo.gl/YPSQLb655B6h7NoW7" = ""), HYPERLINK("https://maps.app.goo.gl/YPSQLb655B6h7NoW7", "موقع"), "")</f>
        <v>موقع</v>
      </c>
    </row>
    <row r="634" spans="1:27" x14ac:dyDescent="0.3">
      <c r="A634" t="s">
        <v>1960</v>
      </c>
      <c r="B634" s="8">
        <v>46282.623217592591</v>
      </c>
      <c r="C634" t="s">
        <v>2</v>
      </c>
      <c r="D634" t="s">
        <v>469</v>
      </c>
      <c r="E634" t="s">
        <v>1919</v>
      </c>
      <c r="F634" t="s">
        <v>3707</v>
      </c>
      <c r="G634" t="s">
        <v>468</v>
      </c>
      <c r="H634" t="s">
        <v>1100</v>
      </c>
      <c r="I634" t="s">
        <v>1263</v>
      </c>
      <c r="J634" t="s">
        <v>1264</v>
      </c>
      <c r="K634" t="s">
        <v>1961</v>
      </c>
      <c r="M634">
        <v>555</v>
      </c>
      <c r="N634">
        <v>69000</v>
      </c>
      <c r="O634">
        <v>32.078639000000003</v>
      </c>
      <c r="P634">
        <v>35.831778</v>
      </c>
      <c r="Q634" t="s">
        <v>1962</v>
      </c>
      <c r="S634" t="s">
        <v>2525</v>
      </c>
      <c r="U634" t="s">
        <v>3708</v>
      </c>
      <c r="W634" t="s">
        <v>1963</v>
      </c>
      <c r="Y634" t="s">
        <v>30</v>
      </c>
      <c r="Z634" t="s">
        <v>30</v>
      </c>
      <c r="AA634" t="str">
        <f>IF(NOT("https://maps.app.goo.gl/Cs5hvB6k2yuN8GMH6" = ""), HYPERLINK("https://maps.app.goo.gl/Cs5hvB6k2yuN8GMH6", "موقع"), "")</f>
        <v>موقع</v>
      </c>
    </row>
    <row r="635" spans="1:27" x14ac:dyDescent="0.3">
      <c r="A635" t="s">
        <v>1964</v>
      </c>
      <c r="B635" s="8">
        <v>46282.623217592591</v>
      </c>
      <c r="C635" t="s">
        <v>2</v>
      </c>
      <c r="D635" t="s">
        <v>469</v>
      </c>
      <c r="E635" t="s">
        <v>1209</v>
      </c>
      <c r="F635" t="s">
        <v>3709</v>
      </c>
      <c r="G635" t="s">
        <v>468</v>
      </c>
      <c r="H635" t="s">
        <v>1100</v>
      </c>
      <c r="I635" t="s">
        <v>1143</v>
      </c>
      <c r="J635" t="s">
        <v>1153</v>
      </c>
      <c r="K635" t="s">
        <v>1647</v>
      </c>
      <c r="L635">
        <v>0</v>
      </c>
      <c r="M635">
        <v>968</v>
      </c>
      <c r="N635">
        <v>71000</v>
      </c>
      <c r="O635">
        <v>31.904471999999998</v>
      </c>
      <c r="P635">
        <v>35.939332999999998</v>
      </c>
      <c r="Q635" t="s">
        <v>1965</v>
      </c>
      <c r="S635" t="s">
        <v>2525</v>
      </c>
      <c r="T635" t="s">
        <v>3710</v>
      </c>
      <c r="U635" t="s">
        <v>3711</v>
      </c>
      <c r="W635" t="s">
        <v>1966</v>
      </c>
      <c r="Y635" t="s">
        <v>30</v>
      </c>
      <c r="Z635" t="s">
        <v>30</v>
      </c>
      <c r="AA635" t="str">
        <f>IF(NOT("https://maps.app.goo.gl/WBUQqXA4gLND48kUA" = ""), HYPERLINK("https://maps.app.goo.gl/WBUQqXA4gLND48kUA", "موقع"), "")</f>
        <v>موقع</v>
      </c>
    </row>
    <row r="636" spans="1:27" x14ac:dyDescent="0.3">
      <c r="A636" t="s">
        <v>1967</v>
      </c>
      <c r="B636" s="8">
        <v>46282.623217592591</v>
      </c>
      <c r="C636" t="s">
        <v>2</v>
      </c>
      <c r="D636" t="s">
        <v>469</v>
      </c>
      <c r="E636" t="s">
        <v>1970</v>
      </c>
      <c r="F636" t="s">
        <v>3694</v>
      </c>
      <c r="G636" t="s">
        <v>468</v>
      </c>
      <c r="H636" t="s">
        <v>1100</v>
      </c>
      <c r="I636" t="s">
        <v>1143</v>
      </c>
      <c r="J636" t="s">
        <v>1968</v>
      </c>
      <c r="K636" t="s">
        <v>1969</v>
      </c>
      <c r="L636">
        <v>0</v>
      </c>
      <c r="M636">
        <v>336</v>
      </c>
      <c r="N636">
        <v>122000</v>
      </c>
      <c r="O636">
        <v>31.787648699999998</v>
      </c>
      <c r="P636">
        <v>35.911592599999999</v>
      </c>
      <c r="Q636" t="s">
        <v>1971</v>
      </c>
      <c r="S636" t="s">
        <v>2525</v>
      </c>
      <c r="U636" t="s">
        <v>3712</v>
      </c>
      <c r="W636" t="s">
        <v>1972</v>
      </c>
      <c r="Y636" t="s">
        <v>30</v>
      </c>
      <c r="Z636" t="s">
        <v>30</v>
      </c>
      <c r="AA636" t="str">
        <f>IF(NOT("https://maps.app.goo.gl/jvgU1UXEWfvHr3Jj6" = ""), HYPERLINK("https://maps.app.goo.gl/jvgU1UXEWfvHr3Jj6", "موقع"), "")</f>
        <v>موقع</v>
      </c>
    </row>
    <row r="637" spans="1:27" x14ac:dyDescent="0.3">
      <c r="A637" t="s">
        <v>1973</v>
      </c>
      <c r="B637" s="8">
        <v>46282.623217592591</v>
      </c>
      <c r="C637" t="s">
        <v>2</v>
      </c>
      <c r="D637" t="s">
        <v>469</v>
      </c>
      <c r="E637" t="s">
        <v>1970</v>
      </c>
      <c r="F637" t="s">
        <v>3694</v>
      </c>
      <c r="G637" t="s">
        <v>468</v>
      </c>
      <c r="H637" t="s">
        <v>1100</v>
      </c>
      <c r="I637" t="s">
        <v>1143</v>
      </c>
      <c r="J637" t="s">
        <v>1968</v>
      </c>
      <c r="K637" t="s">
        <v>1969</v>
      </c>
      <c r="L637">
        <v>0</v>
      </c>
      <c r="M637">
        <v>333</v>
      </c>
      <c r="N637">
        <v>143000</v>
      </c>
      <c r="Q637" t="s">
        <v>1974</v>
      </c>
      <c r="S637" t="s">
        <v>2525</v>
      </c>
      <c r="W637" t="s">
        <v>1975</v>
      </c>
      <c r="Y637" t="s">
        <v>30</v>
      </c>
      <c r="Z637" t="s">
        <v>30</v>
      </c>
      <c r="AA637" t="s">
        <v>30</v>
      </c>
    </row>
    <row r="638" spans="1:27" x14ac:dyDescent="0.3">
      <c r="A638" t="s">
        <v>1976</v>
      </c>
      <c r="B638" s="8">
        <v>46282.623217592591</v>
      </c>
      <c r="C638" t="s">
        <v>2</v>
      </c>
      <c r="D638" t="s">
        <v>469</v>
      </c>
      <c r="E638" t="s">
        <v>1970</v>
      </c>
      <c r="F638" t="s">
        <v>3694</v>
      </c>
      <c r="G638" t="s">
        <v>468</v>
      </c>
      <c r="H638" t="s">
        <v>1100</v>
      </c>
      <c r="I638" t="s">
        <v>1143</v>
      </c>
      <c r="J638" t="s">
        <v>1968</v>
      </c>
      <c r="K638" t="s">
        <v>1969</v>
      </c>
      <c r="M638">
        <v>338</v>
      </c>
      <c r="N638">
        <v>143000</v>
      </c>
      <c r="O638">
        <v>31.78725</v>
      </c>
      <c r="P638">
        <v>35.912083000000003</v>
      </c>
      <c r="Q638" t="s">
        <v>1971</v>
      </c>
      <c r="S638" t="s">
        <v>2525</v>
      </c>
      <c r="U638" t="s">
        <v>3713</v>
      </c>
      <c r="W638" t="s">
        <v>1977</v>
      </c>
      <c r="Y638" t="s">
        <v>30</v>
      </c>
      <c r="Z638" t="s">
        <v>30</v>
      </c>
      <c r="AA638" t="str">
        <f>IF(NOT("https://maps.app.goo.gl/QQPuxL5by4DzCK8F7" = ""), HYPERLINK("https://maps.app.goo.gl/QQPuxL5by4DzCK8F7", "موقع"), "")</f>
        <v>موقع</v>
      </c>
    </row>
    <row r="639" spans="1:27" x14ac:dyDescent="0.3">
      <c r="A639" t="s">
        <v>1978</v>
      </c>
      <c r="B639" s="8">
        <v>46282.623217592591</v>
      </c>
      <c r="C639" t="s">
        <v>2</v>
      </c>
      <c r="D639" t="s">
        <v>469</v>
      </c>
      <c r="E639" t="s">
        <v>1970</v>
      </c>
      <c r="F639" t="s">
        <v>3714</v>
      </c>
      <c r="G639" t="s">
        <v>468</v>
      </c>
      <c r="H639" t="s">
        <v>1100</v>
      </c>
      <c r="I639" t="s">
        <v>1143</v>
      </c>
      <c r="J639" t="s">
        <v>1968</v>
      </c>
      <c r="K639" t="s">
        <v>1969</v>
      </c>
      <c r="M639">
        <v>337</v>
      </c>
      <c r="N639">
        <v>143000</v>
      </c>
      <c r="Q639" t="s">
        <v>1971</v>
      </c>
      <c r="S639" t="s">
        <v>2525</v>
      </c>
      <c r="W639" t="s">
        <v>1972</v>
      </c>
      <c r="Y639" t="s">
        <v>30</v>
      </c>
      <c r="Z639" t="s">
        <v>30</v>
      </c>
      <c r="AA639" t="s">
        <v>30</v>
      </c>
    </row>
    <row r="640" spans="1:27" x14ac:dyDescent="0.3">
      <c r="A640" t="s">
        <v>1979</v>
      </c>
      <c r="B640" s="8">
        <v>46282.623217592591</v>
      </c>
      <c r="C640" t="s">
        <v>2</v>
      </c>
      <c r="D640" t="s">
        <v>469</v>
      </c>
      <c r="E640" t="s">
        <v>1970</v>
      </c>
      <c r="F640" t="s">
        <v>3707</v>
      </c>
      <c r="G640" t="s">
        <v>468</v>
      </c>
      <c r="H640" t="s">
        <v>1100</v>
      </c>
      <c r="I640" t="s">
        <v>1143</v>
      </c>
      <c r="J640" t="s">
        <v>1968</v>
      </c>
      <c r="K640" t="s">
        <v>1969</v>
      </c>
      <c r="M640">
        <v>344</v>
      </c>
      <c r="N640">
        <v>143000</v>
      </c>
      <c r="O640">
        <v>31.786556000000001</v>
      </c>
      <c r="P640">
        <v>35.911360999999999</v>
      </c>
      <c r="Q640" t="s">
        <v>1971</v>
      </c>
      <c r="S640" t="s">
        <v>2525</v>
      </c>
      <c r="U640" t="s">
        <v>3715</v>
      </c>
      <c r="W640" t="s">
        <v>1972</v>
      </c>
      <c r="Y640" t="s">
        <v>30</v>
      </c>
      <c r="Z640" t="s">
        <v>30</v>
      </c>
      <c r="AA640" t="str">
        <f>IF(NOT("https://maps.app.goo.gl/dmrQD7HpjAKDWgH69" = ""), HYPERLINK("https://maps.app.goo.gl/dmrQD7HpjAKDWgH69", "موقع"), "")</f>
        <v>موقع</v>
      </c>
    </row>
    <row r="641" spans="1:27" x14ac:dyDescent="0.3">
      <c r="A641" t="s">
        <v>1980</v>
      </c>
      <c r="B641" s="8">
        <v>46282.623217592591</v>
      </c>
      <c r="C641" t="s">
        <v>2</v>
      </c>
      <c r="D641" t="s">
        <v>469</v>
      </c>
      <c r="E641" t="s">
        <v>1970</v>
      </c>
      <c r="F641" t="s">
        <v>3694</v>
      </c>
      <c r="G641" t="s">
        <v>468</v>
      </c>
      <c r="H641" t="s">
        <v>1100</v>
      </c>
      <c r="I641" t="s">
        <v>1143</v>
      </c>
      <c r="J641" t="s">
        <v>1968</v>
      </c>
      <c r="K641" t="s">
        <v>1969</v>
      </c>
      <c r="M641">
        <v>334</v>
      </c>
      <c r="N641">
        <v>143000</v>
      </c>
      <c r="O641">
        <v>31.787917</v>
      </c>
      <c r="P641">
        <v>35.912222</v>
      </c>
      <c r="Q641" t="s">
        <v>1974</v>
      </c>
      <c r="S641" t="s">
        <v>2525</v>
      </c>
      <c r="U641" t="s">
        <v>3716</v>
      </c>
      <c r="W641" t="s">
        <v>1975</v>
      </c>
      <c r="Y641" t="s">
        <v>30</v>
      </c>
      <c r="Z641" t="s">
        <v>30</v>
      </c>
      <c r="AA641" t="str">
        <f>IF(NOT("https://maps.app.goo.gl/uLUMqwA51BwqkStM7" = ""), HYPERLINK("https://maps.app.goo.gl/uLUMqwA51BwqkStM7", "موقع"), "")</f>
        <v>موقع</v>
      </c>
    </row>
    <row r="642" spans="1:27" x14ac:dyDescent="0.3">
      <c r="A642" t="s">
        <v>1981</v>
      </c>
      <c r="B642" s="8">
        <v>46282.623217592591</v>
      </c>
      <c r="C642" t="s">
        <v>2</v>
      </c>
      <c r="D642" t="s">
        <v>469</v>
      </c>
      <c r="E642" t="s">
        <v>1970</v>
      </c>
      <c r="F642" t="s">
        <v>3717</v>
      </c>
      <c r="G642" t="s">
        <v>468</v>
      </c>
      <c r="H642" t="s">
        <v>1100</v>
      </c>
      <c r="I642" t="s">
        <v>1143</v>
      </c>
      <c r="J642" t="s">
        <v>1968</v>
      </c>
      <c r="K642" t="s">
        <v>1969</v>
      </c>
      <c r="L642">
        <v>0</v>
      </c>
      <c r="M642">
        <v>341</v>
      </c>
      <c r="N642">
        <v>144000</v>
      </c>
      <c r="O642">
        <v>31.786971999999999</v>
      </c>
      <c r="P642">
        <v>35.911667000000001</v>
      </c>
      <c r="Q642" t="s">
        <v>1982</v>
      </c>
      <c r="S642" t="s">
        <v>2525</v>
      </c>
      <c r="U642" t="s">
        <v>3718</v>
      </c>
      <c r="W642" t="s">
        <v>1983</v>
      </c>
      <c r="Y642" t="s">
        <v>30</v>
      </c>
      <c r="Z642" t="s">
        <v>30</v>
      </c>
      <c r="AA642" t="str">
        <f>IF(NOT("https://maps.app.goo.gl/vqEp8YxRWwKJeWBPA" = ""), HYPERLINK("https://maps.app.goo.gl/vqEp8YxRWwKJeWBPA", "موقع"), "")</f>
        <v>موقع</v>
      </c>
    </row>
    <row r="643" spans="1:27" x14ac:dyDescent="0.3">
      <c r="A643" t="s">
        <v>1984</v>
      </c>
      <c r="B643" s="8">
        <v>46282.623217592591</v>
      </c>
      <c r="C643" t="s">
        <v>2</v>
      </c>
      <c r="D643" t="s">
        <v>469</v>
      </c>
      <c r="E643" t="s">
        <v>1970</v>
      </c>
      <c r="F643" t="s">
        <v>3694</v>
      </c>
      <c r="G643" t="s">
        <v>468</v>
      </c>
      <c r="H643" t="s">
        <v>1100</v>
      </c>
      <c r="I643" t="s">
        <v>1143</v>
      </c>
      <c r="J643" t="s">
        <v>1968</v>
      </c>
      <c r="K643" t="s">
        <v>1969</v>
      </c>
      <c r="L643">
        <v>0</v>
      </c>
      <c r="M643">
        <v>342</v>
      </c>
      <c r="N643">
        <v>144000</v>
      </c>
      <c r="O643">
        <v>31.787222</v>
      </c>
      <c r="P643">
        <v>35.911389</v>
      </c>
      <c r="Q643" t="s">
        <v>1985</v>
      </c>
      <c r="S643" t="s">
        <v>2525</v>
      </c>
      <c r="U643" t="s">
        <v>3719</v>
      </c>
      <c r="W643" t="s">
        <v>1986</v>
      </c>
      <c r="Y643" t="s">
        <v>30</v>
      </c>
      <c r="Z643" t="s">
        <v>30</v>
      </c>
      <c r="AA643" t="str">
        <f>IF(NOT("https://maps.app.goo.gl/MdAXn9YLwBcH5rDS9" = ""), HYPERLINK("https://maps.app.goo.gl/MdAXn9YLwBcH5rDS9", "موقع"), "")</f>
        <v>موقع</v>
      </c>
    </row>
    <row r="644" spans="1:27" x14ac:dyDescent="0.3">
      <c r="A644" t="s">
        <v>1987</v>
      </c>
      <c r="B644" s="8">
        <v>46282.623217592591</v>
      </c>
      <c r="C644" t="s">
        <v>2</v>
      </c>
      <c r="D644" t="s">
        <v>469</v>
      </c>
      <c r="E644" t="s">
        <v>1970</v>
      </c>
      <c r="F644" t="s">
        <v>3694</v>
      </c>
      <c r="G644" t="s">
        <v>468</v>
      </c>
      <c r="H644" t="s">
        <v>1100</v>
      </c>
      <c r="I644" t="s">
        <v>1143</v>
      </c>
      <c r="J644" t="s">
        <v>1968</v>
      </c>
      <c r="K644" t="s">
        <v>1969</v>
      </c>
      <c r="L644">
        <v>0</v>
      </c>
      <c r="M644">
        <v>330</v>
      </c>
      <c r="N644">
        <v>145000</v>
      </c>
      <c r="O644">
        <v>31.788056000000001</v>
      </c>
      <c r="P644">
        <v>35.912832999999999</v>
      </c>
      <c r="Q644" t="s">
        <v>1974</v>
      </c>
      <c r="S644" t="s">
        <v>2525</v>
      </c>
      <c r="U644" t="s">
        <v>3720</v>
      </c>
      <c r="W644" t="s">
        <v>1975</v>
      </c>
      <c r="Y644" t="s">
        <v>30</v>
      </c>
      <c r="Z644" t="s">
        <v>30</v>
      </c>
      <c r="AA644" t="str">
        <f>IF(NOT("https://maps.app.goo.gl/Skrqwf7r3wdJYpw1A" = ""), HYPERLINK("https://maps.app.goo.gl/Skrqwf7r3wdJYpw1A", "موقع"), "")</f>
        <v>موقع</v>
      </c>
    </row>
    <row r="645" spans="1:27" x14ac:dyDescent="0.3">
      <c r="A645" t="s">
        <v>1988</v>
      </c>
      <c r="B645" s="8">
        <v>46282.623217592591</v>
      </c>
      <c r="C645" t="s">
        <v>2</v>
      </c>
      <c r="D645" t="s">
        <v>469</v>
      </c>
      <c r="E645" t="s">
        <v>1970</v>
      </c>
      <c r="F645" t="s">
        <v>3721</v>
      </c>
      <c r="G645" t="s">
        <v>468</v>
      </c>
      <c r="H645" t="s">
        <v>1100</v>
      </c>
      <c r="I645" t="s">
        <v>1143</v>
      </c>
      <c r="J645" t="s">
        <v>1968</v>
      </c>
      <c r="K645" t="s">
        <v>1969</v>
      </c>
      <c r="M645">
        <v>329</v>
      </c>
      <c r="N645">
        <v>148000</v>
      </c>
      <c r="O645">
        <v>31.788277999999998</v>
      </c>
      <c r="P645">
        <v>35.912582999999998</v>
      </c>
      <c r="Q645" t="s">
        <v>1974</v>
      </c>
      <c r="S645" t="s">
        <v>2525</v>
      </c>
      <c r="U645" t="s">
        <v>3722</v>
      </c>
      <c r="W645" t="s">
        <v>1989</v>
      </c>
      <c r="Y645" t="s">
        <v>30</v>
      </c>
      <c r="Z645" t="s">
        <v>30</v>
      </c>
      <c r="AA645" t="str">
        <f>IF(NOT("https://maps.app.goo.gl/42K7oRJn1DkVELz27" = ""), HYPERLINK("https://maps.app.goo.gl/42K7oRJn1DkVELz27", "موقع"), "")</f>
        <v>موقع</v>
      </c>
    </row>
    <row r="646" spans="1:27" x14ac:dyDescent="0.3">
      <c r="A646" t="s">
        <v>1990</v>
      </c>
      <c r="B646" s="8">
        <v>46282.623217592591</v>
      </c>
      <c r="C646" t="s">
        <v>2</v>
      </c>
      <c r="D646" t="s">
        <v>469</v>
      </c>
      <c r="E646" t="s">
        <v>1970</v>
      </c>
      <c r="F646" t="s">
        <v>3694</v>
      </c>
      <c r="G646" t="s">
        <v>468</v>
      </c>
      <c r="H646" t="s">
        <v>1100</v>
      </c>
      <c r="I646" t="s">
        <v>1143</v>
      </c>
      <c r="J646" t="s">
        <v>1968</v>
      </c>
      <c r="K646" t="s">
        <v>1969</v>
      </c>
      <c r="M646">
        <v>339</v>
      </c>
      <c r="N646">
        <v>152000</v>
      </c>
      <c r="Q646" t="s">
        <v>1974</v>
      </c>
      <c r="S646" t="s">
        <v>2525</v>
      </c>
      <c r="W646" t="s">
        <v>1989</v>
      </c>
      <c r="Y646" t="s">
        <v>30</v>
      </c>
      <c r="Z646" t="s">
        <v>30</v>
      </c>
      <c r="AA646" t="s">
        <v>30</v>
      </c>
    </row>
    <row r="647" spans="1:27" x14ac:dyDescent="0.3">
      <c r="A647" t="s">
        <v>1991</v>
      </c>
      <c r="B647" s="8">
        <v>46282.623217592591</v>
      </c>
      <c r="C647" t="s">
        <v>2</v>
      </c>
      <c r="D647" t="s">
        <v>469</v>
      </c>
      <c r="E647" t="s">
        <v>1970</v>
      </c>
      <c r="F647" t="s">
        <v>3694</v>
      </c>
      <c r="G647" t="s">
        <v>468</v>
      </c>
      <c r="H647" t="s">
        <v>1100</v>
      </c>
      <c r="I647" t="s">
        <v>1143</v>
      </c>
      <c r="J647" t="s">
        <v>1968</v>
      </c>
      <c r="K647" t="s">
        <v>1969</v>
      </c>
      <c r="M647">
        <v>335</v>
      </c>
      <c r="N647">
        <v>152000</v>
      </c>
      <c r="Q647" t="s">
        <v>1971</v>
      </c>
      <c r="S647" t="s">
        <v>2525</v>
      </c>
      <c r="W647" t="s">
        <v>1977</v>
      </c>
      <c r="Y647" t="s">
        <v>30</v>
      </c>
      <c r="Z647" t="s">
        <v>30</v>
      </c>
      <c r="AA647" t="s">
        <v>30</v>
      </c>
    </row>
    <row r="648" spans="1:27" x14ac:dyDescent="0.3">
      <c r="A648" t="s">
        <v>1992</v>
      </c>
      <c r="B648" s="8">
        <v>46282.623217592591</v>
      </c>
      <c r="C648" t="s">
        <v>2</v>
      </c>
      <c r="D648" t="s">
        <v>469</v>
      </c>
      <c r="E648" t="s">
        <v>1970</v>
      </c>
      <c r="F648" t="s">
        <v>3723</v>
      </c>
      <c r="G648" t="s">
        <v>468</v>
      </c>
      <c r="H648" t="s">
        <v>1100</v>
      </c>
      <c r="I648" t="s">
        <v>1143</v>
      </c>
      <c r="J648" t="s">
        <v>1968</v>
      </c>
      <c r="K648" t="s">
        <v>1969</v>
      </c>
      <c r="M648">
        <v>340</v>
      </c>
      <c r="N648">
        <v>152000</v>
      </c>
      <c r="Q648" t="s">
        <v>1971</v>
      </c>
      <c r="S648" t="s">
        <v>2525</v>
      </c>
      <c r="W648" t="s">
        <v>1977</v>
      </c>
      <c r="Y648" t="s">
        <v>30</v>
      </c>
      <c r="Z648" t="s">
        <v>30</v>
      </c>
      <c r="AA648" t="s">
        <v>30</v>
      </c>
    </row>
    <row r="649" spans="1:27" x14ac:dyDescent="0.3">
      <c r="A649" t="s">
        <v>1993</v>
      </c>
      <c r="B649" s="8">
        <v>46282.623217592591</v>
      </c>
      <c r="C649" t="s">
        <v>2</v>
      </c>
      <c r="D649" t="s">
        <v>469</v>
      </c>
      <c r="E649" t="s">
        <v>1970</v>
      </c>
      <c r="F649" t="s">
        <v>3694</v>
      </c>
      <c r="G649" t="s">
        <v>468</v>
      </c>
      <c r="H649" t="s">
        <v>1100</v>
      </c>
      <c r="I649" t="s">
        <v>1143</v>
      </c>
      <c r="J649" t="s">
        <v>1968</v>
      </c>
      <c r="K649" t="s">
        <v>1969</v>
      </c>
      <c r="M649">
        <v>343</v>
      </c>
      <c r="N649">
        <v>152000</v>
      </c>
      <c r="O649">
        <v>31.786805999999999</v>
      </c>
      <c r="P649">
        <v>35.911110999999998</v>
      </c>
      <c r="Q649" t="s">
        <v>1974</v>
      </c>
      <c r="S649" t="s">
        <v>2525</v>
      </c>
      <c r="U649" t="s">
        <v>3724</v>
      </c>
      <c r="W649" t="s">
        <v>1975</v>
      </c>
      <c r="Y649" t="s">
        <v>30</v>
      </c>
      <c r="Z649" t="s">
        <v>30</v>
      </c>
      <c r="AA649" t="str">
        <f>IF(NOT("https://maps.app.goo.gl/PzxKSsMrfUg6T8AMA" = ""), HYPERLINK("https://maps.app.goo.gl/PzxKSsMrfUg6T8AMA", "موقع"), "")</f>
        <v>موقع</v>
      </c>
    </row>
    <row r="650" spans="1:27" x14ac:dyDescent="0.3">
      <c r="A650" t="s">
        <v>1994</v>
      </c>
      <c r="B650" s="8">
        <v>46282.623217592591</v>
      </c>
      <c r="C650" t="s">
        <v>2</v>
      </c>
      <c r="D650" t="s">
        <v>469</v>
      </c>
      <c r="E650" t="s">
        <v>1970</v>
      </c>
      <c r="F650" t="s">
        <v>3725</v>
      </c>
      <c r="G650" t="s">
        <v>468</v>
      </c>
      <c r="H650" t="s">
        <v>1100</v>
      </c>
      <c r="I650" t="s">
        <v>1143</v>
      </c>
      <c r="J650" t="s">
        <v>1968</v>
      </c>
      <c r="K650" t="s">
        <v>1969</v>
      </c>
      <c r="M650">
        <v>347</v>
      </c>
      <c r="N650">
        <v>153000</v>
      </c>
      <c r="O650">
        <v>31.786417</v>
      </c>
      <c r="P650">
        <v>35.910944000000001</v>
      </c>
      <c r="Q650" t="s">
        <v>1995</v>
      </c>
      <c r="S650" t="s">
        <v>2525</v>
      </c>
      <c r="U650" t="s">
        <v>3726</v>
      </c>
      <c r="W650" t="s">
        <v>1996</v>
      </c>
      <c r="Y650" t="s">
        <v>30</v>
      </c>
      <c r="Z650" t="s">
        <v>30</v>
      </c>
      <c r="AA650" t="str">
        <f>IF(NOT("https://maps.app.goo.gl/o7cRey1CUqSGMQAb9" = ""), HYPERLINK("https://maps.app.goo.gl/o7cRey1CUqSGMQAb9", "موقع"), "")</f>
        <v>موقع</v>
      </c>
    </row>
    <row r="651" spans="1:27" x14ac:dyDescent="0.3">
      <c r="A651" t="s">
        <v>1997</v>
      </c>
      <c r="B651" s="8">
        <v>46282.623217592591</v>
      </c>
      <c r="C651" t="s">
        <v>2</v>
      </c>
      <c r="D651" t="s">
        <v>469</v>
      </c>
      <c r="E651" t="s">
        <v>1463</v>
      </c>
      <c r="F651" t="s">
        <v>3707</v>
      </c>
      <c r="G651" t="s">
        <v>468</v>
      </c>
      <c r="H651" t="s">
        <v>1100</v>
      </c>
      <c r="I651" t="s">
        <v>1263</v>
      </c>
      <c r="J651" t="s">
        <v>1461</v>
      </c>
      <c r="K651" t="s">
        <v>1998</v>
      </c>
      <c r="M651">
        <v>873</v>
      </c>
      <c r="N651">
        <v>174000</v>
      </c>
      <c r="O651">
        <v>32.067332999999998</v>
      </c>
      <c r="P651">
        <v>35.925027999999998</v>
      </c>
      <c r="Q651" t="s">
        <v>1061</v>
      </c>
      <c r="S651" t="s">
        <v>2525</v>
      </c>
      <c r="U651" t="s">
        <v>3727</v>
      </c>
      <c r="W651" t="s">
        <v>1999</v>
      </c>
      <c r="Y651" t="s">
        <v>30</v>
      </c>
      <c r="Z651" t="s">
        <v>30</v>
      </c>
      <c r="AA651" t="str">
        <f>IF(NOT("https://maps.app.goo.gl/A9tsvAhQTLtobTK4A" = ""), HYPERLINK("https://maps.app.goo.gl/A9tsvAhQTLtobTK4A", "موقع"), "")</f>
        <v>موقع</v>
      </c>
    </row>
    <row r="652" spans="1:27" x14ac:dyDescent="0.3">
      <c r="A652" t="s">
        <v>2000</v>
      </c>
      <c r="B652" s="8">
        <v>46282.623217592591</v>
      </c>
      <c r="C652" t="s">
        <v>2</v>
      </c>
      <c r="D652" t="s">
        <v>469</v>
      </c>
      <c r="E652" t="s">
        <v>2002</v>
      </c>
      <c r="F652" t="s">
        <v>3694</v>
      </c>
      <c r="G652" t="s">
        <v>468</v>
      </c>
      <c r="H652" t="s">
        <v>1100</v>
      </c>
      <c r="I652" t="s">
        <v>1424</v>
      </c>
      <c r="J652" t="s">
        <v>1425</v>
      </c>
      <c r="K652" t="s">
        <v>2001</v>
      </c>
      <c r="M652">
        <v>381</v>
      </c>
      <c r="N652">
        <v>819000</v>
      </c>
      <c r="O652">
        <v>31.911443999999999</v>
      </c>
      <c r="P652">
        <v>35.857556000000002</v>
      </c>
      <c r="Q652" t="s">
        <v>2003</v>
      </c>
      <c r="S652" t="s">
        <v>2525</v>
      </c>
      <c r="U652" t="s">
        <v>3728</v>
      </c>
      <c r="W652" t="s">
        <v>2004</v>
      </c>
      <c r="Y652" t="s">
        <v>30</v>
      </c>
      <c r="Z652" t="s">
        <v>30</v>
      </c>
      <c r="AA652" t="str">
        <f>IF(NOT("https://maps.app.goo.gl/TUA87RZKwj9BjkHs7" = ""), HYPERLINK("https://maps.app.goo.gl/TUA87RZKwj9BjkHs7", "موقع"), "")</f>
        <v>موقع</v>
      </c>
    </row>
    <row r="653" spans="1:27" x14ac:dyDescent="0.3">
      <c r="A653" t="s">
        <v>2005</v>
      </c>
      <c r="B653" s="8">
        <v>46282.623217592591</v>
      </c>
      <c r="C653" t="s">
        <v>2</v>
      </c>
      <c r="D653" t="s">
        <v>469</v>
      </c>
      <c r="E653" t="s">
        <v>2008</v>
      </c>
      <c r="F653" t="s">
        <v>3729</v>
      </c>
      <c r="G653" t="s">
        <v>468</v>
      </c>
      <c r="H653" t="s">
        <v>1100</v>
      </c>
      <c r="I653" t="s">
        <v>1143</v>
      </c>
      <c r="J653" t="s">
        <v>2006</v>
      </c>
      <c r="K653" t="s">
        <v>2007</v>
      </c>
      <c r="M653">
        <v>62</v>
      </c>
      <c r="N653">
        <v>1002000</v>
      </c>
      <c r="O653">
        <v>31.760055999999999</v>
      </c>
      <c r="P653">
        <v>35.901888999999997</v>
      </c>
      <c r="Q653" t="s">
        <v>2009</v>
      </c>
      <c r="S653" t="s">
        <v>2525</v>
      </c>
      <c r="U653" t="s">
        <v>3730</v>
      </c>
      <c r="W653" t="s">
        <v>2010</v>
      </c>
      <c r="Y653" t="s">
        <v>30</v>
      </c>
      <c r="Z653" t="s">
        <v>30</v>
      </c>
      <c r="AA653" t="str">
        <f>IF(NOT("https://maps.app.goo.gl/HuTdTCQkp6Ky5f9z7" = ""), HYPERLINK("https://maps.app.goo.gl/HuTdTCQkp6Ky5f9z7", "موقع"), "")</f>
        <v>موقع</v>
      </c>
    </row>
    <row r="654" spans="1:27" x14ac:dyDescent="0.3">
      <c r="A654" t="s">
        <v>2011</v>
      </c>
      <c r="B654" s="8">
        <v>46282.623217592591</v>
      </c>
      <c r="C654" t="s">
        <v>2</v>
      </c>
      <c r="D654" t="s">
        <v>469</v>
      </c>
      <c r="E654" t="s">
        <v>1970</v>
      </c>
      <c r="F654" t="s">
        <v>3694</v>
      </c>
      <c r="G654" t="s">
        <v>468</v>
      </c>
      <c r="H654" t="s">
        <v>1100</v>
      </c>
      <c r="I654" t="s">
        <v>1143</v>
      </c>
      <c r="J654" t="s">
        <v>1968</v>
      </c>
      <c r="K654" t="s">
        <v>1969</v>
      </c>
      <c r="M654">
        <v>332</v>
      </c>
      <c r="O654">
        <v>31.787500000000001</v>
      </c>
      <c r="P654">
        <v>35.912722000000002</v>
      </c>
      <c r="Q654" t="s">
        <v>1985</v>
      </c>
      <c r="S654" t="s">
        <v>2525</v>
      </c>
      <c r="U654" t="s">
        <v>3731</v>
      </c>
      <c r="Y654" t="s">
        <v>30</v>
      </c>
      <c r="Z654" t="s">
        <v>30</v>
      </c>
      <c r="AA654" t="str">
        <f>IF(NOT("https://maps.app.goo.gl/nDoQ7cguUoQW1Ehg6" = ""), HYPERLINK("https://maps.app.goo.gl/nDoQ7cguUoQW1Ehg6", "موقع"), "")</f>
        <v>موقع</v>
      </c>
    </row>
    <row r="655" spans="1:27" x14ac:dyDescent="0.3">
      <c r="A655" t="s">
        <v>2012</v>
      </c>
      <c r="B655" s="8">
        <v>46282.623217592591</v>
      </c>
      <c r="C655" t="s">
        <v>2</v>
      </c>
      <c r="D655" t="s">
        <v>469</v>
      </c>
      <c r="E655" t="s">
        <v>1383</v>
      </c>
      <c r="F655" t="s">
        <v>3732</v>
      </c>
      <c r="G655" t="s">
        <v>468</v>
      </c>
      <c r="H655" t="s">
        <v>1100</v>
      </c>
      <c r="I655" t="s">
        <v>1263</v>
      </c>
      <c r="J655" t="s">
        <v>1381</v>
      </c>
      <c r="K655" t="s">
        <v>2013</v>
      </c>
      <c r="L655">
        <v>0</v>
      </c>
      <c r="M655">
        <v>1743</v>
      </c>
      <c r="O655">
        <v>31.995443999999999</v>
      </c>
      <c r="P655">
        <v>35.880110999999999</v>
      </c>
      <c r="Q655" t="s">
        <v>2014</v>
      </c>
      <c r="R655" t="s">
        <v>3733</v>
      </c>
      <c r="S655" t="s">
        <v>2579</v>
      </c>
      <c r="T655" t="s">
        <v>3734</v>
      </c>
      <c r="U655" t="s">
        <v>3735</v>
      </c>
      <c r="Y655" t="s">
        <v>30</v>
      </c>
      <c r="Z655" t="str">
        <f>IF(NOT("https://truemarkets3d.net/3d-virtual-tour/housingbank-realestate/phase3/aq-lnd-100794/index.html" = ""), HYPERLINK("https://truemarkets3d.net/3d-virtual-tour/housingbank-realestate/phase3/aq-lnd-100794/index.html", "جولة"), "")</f>
        <v>جولة</v>
      </c>
      <c r="AA655" t="str">
        <f>IF(NOT("https://maps.app.goo.gl/UvEAvXSTQDCEjZgM6" = ""), HYPERLINK("https://maps.app.goo.gl/UvEAvXSTQDCEjZgM6", "موقع"), "")</f>
        <v>موقع</v>
      </c>
    </row>
    <row r="656" spans="1:27" x14ac:dyDescent="0.3">
      <c r="A656" t="s">
        <v>2015</v>
      </c>
      <c r="B656" s="8">
        <v>46282.623217592591</v>
      </c>
      <c r="C656" t="s">
        <v>2</v>
      </c>
      <c r="D656" t="s">
        <v>469</v>
      </c>
      <c r="E656" t="s">
        <v>2018</v>
      </c>
      <c r="F656" t="s">
        <v>3736</v>
      </c>
      <c r="G656" t="s">
        <v>468</v>
      </c>
      <c r="H656" t="s">
        <v>1100</v>
      </c>
      <c r="I656" t="s">
        <v>1168</v>
      </c>
      <c r="J656" t="s">
        <v>2016</v>
      </c>
      <c r="K656" t="s">
        <v>2017</v>
      </c>
      <c r="L656">
        <v>0</v>
      </c>
      <c r="M656">
        <v>1427</v>
      </c>
      <c r="O656">
        <v>31.772278</v>
      </c>
      <c r="P656">
        <v>36.011611000000002</v>
      </c>
      <c r="Q656" t="s">
        <v>2019</v>
      </c>
      <c r="S656" t="s">
        <v>2525</v>
      </c>
      <c r="U656" t="s">
        <v>3737</v>
      </c>
      <c r="Y656" t="s">
        <v>30</v>
      </c>
      <c r="Z656" t="s">
        <v>30</v>
      </c>
      <c r="AA656" t="str">
        <f>IF(NOT("https://maps.app.goo.gl/bKLMF3Rz315c9uYX7" = ""), HYPERLINK("https://maps.app.goo.gl/bKLMF3Rz315c9uYX7", "موقع"), "")</f>
        <v>موقع</v>
      </c>
    </row>
    <row r="657" spans="1:27" x14ac:dyDescent="0.3">
      <c r="A657" t="s">
        <v>2020</v>
      </c>
      <c r="B657" s="8">
        <v>46282.623217592591</v>
      </c>
      <c r="C657" t="s">
        <v>2</v>
      </c>
      <c r="D657" t="s">
        <v>469</v>
      </c>
      <c r="E657" t="s">
        <v>2023</v>
      </c>
      <c r="F657" t="s">
        <v>3738</v>
      </c>
      <c r="G657" t="s">
        <v>468</v>
      </c>
      <c r="H657" t="s">
        <v>1100</v>
      </c>
      <c r="I657" t="s">
        <v>1472</v>
      </c>
      <c r="J657" t="s">
        <v>2021</v>
      </c>
      <c r="K657" t="s">
        <v>2022</v>
      </c>
      <c r="L657">
        <v>0</v>
      </c>
      <c r="M657">
        <v>423</v>
      </c>
      <c r="Q657" t="s">
        <v>2024</v>
      </c>
      <c r="S657" t="s">
        <v>2525</v>
      </c>
      <c r="Y657" t="s">
        <v>30</v>
      </c>
      <c r="Z657" t="s">
        <v>30</v>
      </c>
      <c r="AA657" t="s">
        <v>30</v>
      </c>
    </row>
    <row r="658" spans="1:27" x14ac:dyDescent="0.3">
      <c r="A658" t="s">
        <v>2025</v>
      </c>
      <c r="B658" s="8">
        <v>46282.623217592591</v>
      </c>
      <c r="C658" t="s">
        <v>2</v>
      </c>
      <c r="D658" t="s">
        <v>469</v>
      </c>
      <c r="E658" t="s">
        <v>2027</v>
      </c>
      <c r="F658" t="s">
        <v>3739</v>
      </c>
      <c r="G658" t="s">
        <v>468</v>
      </c>
      <c r="H658" t="s">
        <v>1100</v>
      </c>
      <c r="I658" t="s">
        <v>1101</v>
      </c>
      <c r="J658" t="s">
        <v>1102</v>
      </c>
      <c r="K658" t="s">
        <v>2026</v>
      </c>
      <c r="L658">
        <v>0</v>
      </c>
      <c r="M658">
        <v>914</v>
      </c>
      <c r="Q658" t="s">
        <v>2028</v>
      </c>
      <c r="S658" t="s">
        <v>2525</v>
      </c>
      <c r="T658" t="s">
        <v>3740</v>
      </c>
      <c r="Y658" t="s">
        <v>30</v>
      </c>
      <c r="Z658" t="s">
        <v>30</v>
      </c>
      <c r="AA658" t="s">
        <v>30</v>
      </c>
    </row>
    <row r="659" spans="1:27" x14ac:dyDescent="0.3">
      <c r="A659" t="s">
        <v>2025</v>
      </c>
      <c r="B659" s="8">
        <v>46282.623217592591</v>
      </c>
      <c r="C659" t="s">
        <v>2</v>
      </c>
      <c r="D659" t="s">
        <v>469</v>
      </c>
      <c r="E659" t="s">
        <v>2027</v>
      </c>
      <c r="F659" t="s">
        <v>3739</v>
      </c>
      <c r="G659" t="s">
        <v>468</v>
      </c>
      <c r="H659" t="s">
        <v>1100</v>
      </c>
      <c r="I659" t="s">
        <v>1101</v>
      </c>
      <c r="J659" t="s">
        <v>1102</v>
      </c>
      <c r="K659" t="s">
        <v>2026</v>
      </c>
      <c r="L659">
        <v>0</v>
      </c>
      <c r="M659">
        <v>914</v>
      </c>
      <c r="Q659" t="s">
        <v>2029</v>
      </c>
      <c r="S659" t="s">
        <v>2525</v>
      </c>
      <c r="T659" t="s">
        <v>3740</v>
      </c>
      <c r="Y659" t="s">
        <v>30</v>
      </c>
      <c r="Z659" t="s">
        <v>30</v>
      </c>
      <c r="AA659" t="s">
        <v>30</v>
      </c>
    </row>
    <row r="660" spans="1:27" x14ac:dyDescent="0.3">
      <c r="A660" t="s">
        <v>2030</v>
      </c>
      <c r="B660" s="8">
        <v>46282.623217592591</v>
      </c>
      <c r="C660" t="s">
        <v>2</v>
      </c>
      <c r="D660" t="s">
        <v>469</v>
      </c>
      <c r="F660" t="s">
        <v>3694</v>
      </c>
      <c r="G660" t="s">
        <v>468</v>
      </c>
      <c r="H660" t="s">
        <v>1100</v>
      </c>
      <c r="I660" t="s">
        <v>1263</v>
      </c>
      <c r="J660" t="s">
        <v>2031</v>
      </c>
      <c r="K660" t="s">
        <v>2032</v>
      </c>
      <c r="L660">
        <v>0</v>
      </c>
      <c r="M660">
        <v>48</v>
      </c>
      <c r="O660">
        <v>32.159666999999999</v>
      </c>
      <c r="P660">
        <v>35.827249999999999</v>
      </c>
      <c r="Q660" t="s">
        <v>2033</v>
      </c>
      <c r="S660" t="s">
        <v>2525</v>
      </c>
      <c r="U660" t="s">
        <v>3741</v>
      </c>
      <c r="Y660" t="s">
        <v>30</v>
      </c>
      <c r="Z660" t="s">
        <v>30</v>
      </c>
      <c r="AA660" t="str">
        <f>IF(NOT("https://maps.app.goo.gl/MdWzffUtbwSijSHUA" = ""), HYPERLINK("https://maps.app.goo.gl/MdWzffUtbwSijSHUA", "موقع"), "")</f>
        <v>موقع</v>
      </c>
    </row>
    <row r="661" spans="1:27" x14ac:dyDescent="0.3">
      <c r="A661" t="s">
        <v>2034</v>
      </c>
      <c r="B661" s="8">
        <v>46282.623217592591</v>
      </c>
      <c r="C661" t="s">
        <v>2</v>
      </c>
      <c r="D661" t="s">
        <v>469</v>
      </c>
      <c r="F661" t="s">
        <v>3725</v>
      </c>
      <c r="G661" t="s">
        <v>468</v>
      </c>
      <c r="H661" t="s">
        <v>1100</v>
      </c>
      <c r="I661" t="s">
        <v>1263</v>
      </c>
      <c r="J661" t="s">
        <v>2035</v>
      </c>
      <c r="K661" t="s">
        <v>2036</v>
      </c>
      <c r="M661">
        <v>119</v>
      </c>
      <c r="Q661" t="s">
        <v>2037</v>
      </c>
      <c r="S661" t="s">
        <v>2525</v>
      </c>
      <c r="Y661" t="s">
        <v>30</v>
      </c>
      <c r="Z661" t="s">
        <v>30</v>
      </c>
      <c r="AA661" t="s">
        <v>30</v>
      </c>
    </row>
    <row r="662" spans="1:27" x14ac:dyDescent="0.3">
      <c r="A662" t="s">
        <v>2038</v>
      </c>
      <c r="B662" s="8">
        <v>46282.623217592591</v>
      </c>
      <c r="C662" t="s">
        <v>2</v>
      </c>
      <c r="D662" t="s">
        <v>469</v>
      </c>
      <c r="E662" t="s">
        <v>2027</v>
      </c>
      <c r="F662" t="s">
        <v>3742</v>
      </c>
      <c r="G662" t="s">
        <v>468</v>
      </c>
      <c r="H662" t="s">
        <v>1100</v>
      </c>
      <c r="I662" t="s">
        <v>1101</v>
      </c>
      <c r="J662" t="s">
        <v>1102</v>
      </c>
      <c r="K662" t="s">
        <v>2026</v>
      </c>
      <c r="L662">
        <v>0</v>
      </c>
      <c r="M662">
        <v>915</v>
      </c>
      <c r="Q662" t="s">
        <v>2028</v>
      </c>
      <c r="S662" t="s">
        <v>2525</v>
      </c>
      <c r="Y662" t="s">
        <v>30</v>
      </c>
      <c r="Z662" t="s">
        <v>30</v>
      </c>
      <c r="AA662" t="s">
        <v>30</v>
      </c>
    </row>
    <row r="663" spans="1:27" x14ac:dyDescent="0.3">
      <c r="A663" t="s">
        <v>2039</v>
      </c>
      <c r="B663" s="8">
        <v>46282.623217592591</v>
      </c>
      <c r="C663" t="s">
        <v>2</v>
      </c>
      <c r="D663" t="s">
        <v>469</v>
      </c>
      <c r="E663" t="s">
        <v>1867</v>
      </c>
      <c r="F663" t="s">
        <v>3694</v>
      </c>
      <c r="G663" t="s">
        <v>468</v>
      </c>
      <c r="H663" t="s">
        <v>1100</v>
      </c>
      <c r="I663" t="s">
        <v>1143</v>
      </c>
      <c r="J663" t="s">
        <v>1865</v>
      </c>
      <c r="K663" t="s">
        <v>2040</v>
      </c>
      <c r="M663">
        <v>855</v>
      </c>
      <c r="O663">
        <v>31.736416999999999</v>
      </c>
      <c r="P663">
        <v>35.917028000000002</v>
      </c>
      <c r="Q663" t="s">
        <v>2041</v>
      </c>
      <c r="S663" t="s">
        <v>2525</v>
      </c>
      <c r="U663" t="s">
        <v>3743</v>
      </c>
      <c r="Y663" t="s">
        <v>30</v>
      </c>
      <c r="Z663" t="s">
        <v>30</v>
      </c>
      <c r="AA663" t="str">
        <f>IF(NOT("https://maps.app.goo.gl/812eQXucopMMo1bE7" = ""), HYPERLINK("https://maps.app.goo.gl/812eQXucopMMo1bE7", "موقع"), "")</f>
        <v>موقع</v>
      </c>
    </row>
    <row r="664" spans="1:27" x14ac:dyDescent="0.3">
      <c r="A664" t="s">
        <v>2042</v>
      </c>
      <c r="B664" s="8">
        <v>46282.623217592591</v>
      </c>
      <c r="C664" t="s">
        <v>2</v>
      </c>
      <c r="D664" t="s">
        <v>469</v>
      </c>
      <c r="F664" t="s">
        <v>3744</v>
      </c>
      <c r="G664" t="s">
        <v>468</v>
      </c>
      <c r="H664" t="s">
        <v>1100</v>
      </c>
      <c r="I664" t="s">
        <v>1263</v>
      </c>
      <c r="J664" t="s">
        <v>2031</v>
      </c>
      <c r="K664" t="s">
        <v>2032</v>
      </c>
      <c r="M664">
        <v>49</v>
      </c>
      <c r="O664">
        <v>32.159139000000003</v>
      </c>
      <c r="P664">
        <v>35.827193999999999</v>
      </c>
      <c r="Q664" t="s">
        <v>2043</v>
      </c>
      <c r="S664" t="s">
        <v>2525</v>
      </c>
      <c r="U664" t="s">
        <v>3745</v>
      </c>
      <c r="Y664" t="s">
        <v>30</v>
      </c>
      <c r="Z664" t="s">
        <v>30</v>
      </c>
      <c r="AA664" t="str">
        <f>IF(NOT("https://maps.app.goo.gl/XtCSgLarZ3UozvQU8" = ""), HYPERLINK("https://maps.app.goo.gl/XtCSgLarZ3UozvQU8", "موقع"), "")</f>
        <v>موقع</v>
      </c>
    </row>
    <row r="665" spans="1:27" x14ac:dyDescent="0.3">
      <c r="A665" t="s">
        <v>2044</v>
      </c>
      <c r="B665" s="8">
        <v>46282.623217592591</v>
      </c>
      <c r="C665" t="s">
        <v>2</v>
      </c>
      <c r="D665" t="s">
        <v>469</v>
      </c>
      <c r="F665" t="s">
        <v>3746</v>
      </c>
      <c r="G665" t="s">
        <v>468</v>
      </c>
      <c r="H665" t="s">
        <v>1100</v>
      </c>
      <c r="I665" t="s">
        <v>1263</v>
      </c>
      <c r="J665" t="s">
        <v>2031</v>
      </c>
      <c r="K665" t="s">
        <v>2032</v>
      </c>
      <c r="M665">
        <v>50</v>
      </c>
      <c r="O665">
        <v>32.159139000000003</v>
      </c>
      <c r="P665">
        <v>35.826694000000003</v>
      </c>
      <c r="Q665" t="s">
        <v>2045</v>
      </c>
      <c r="S665" t="s">
        <v>2525</v>
      </c>
      <c r="U665" t="s">
        <v>3747</v>
      </c>
      <c r="Y665" t="s">
        <v>30</v>
      </c>
      <c r="Z665" t="s">
        <v>30</v>
      </c>
      <c r="AA665" t="str">
        <f>IF(NOT("https://maps.app.goo.gl/oEeoJVH3KTAHbshS6" = ""), HYPERLINK("https://maps.app.goo.gl/oEeoJVH3KTAHbshS6", "موقع"), "")</f>
        <v>موقع</v>
      </c>
    </row>
    <row r="666" spans="1:27" x14ac:dyDescent="0.3">
      <c r="A666" t="s">
        <v>2046</v>
      </c>
      <c r="B666" s="8">
        <v>46282.623217592591</v>
      </c>
      <c r="C666" t="s">
        <v>2</v>
      </c>
      <c r="D666" t="s">
        <v>2047</v>
      </c>
      <c r="E666" t="s">
        <v>2049</v>
      </c>
      <c r="F666" t="s">
        <v>3748</v>
      </c>
      <c r="G666" t="s">
        <v>21</v>
      </c>
      <c r="H666" t="s">
        <v>1100</v>
      </c>
      <c r="I666" t="s">
        <v>1263</v>
      </c>
      <c r="J666" t="s">
        <v>1329</v>
      </c>
      <c r="K666" t="s">
        <v>2048</v>
      </c>
      <c r="L666">
        <v>139</v>
      </c>
      <c r="M666">
        <v>449</v>
      </c>
      <c r="N666">
        <v>102000</v>
      </c>
      <c r="O666">
        <v>31.997889000000001</v>
      </c>
      <c r="P666">
        <v>35.871693999999998</v>
      </c>
      <c r="Q666" t="s">
        <v>1415</v>
      </c>
      <c r="R666" t="s">
        <v>3749</v>
      </c>
      <c r="S666" t="s">
        <v>2579</v>
      </c>
      <c r="T666" t="s">
        <v>3750</v>
      </c>
      <c r="U666" t="s">
        <v>3751</v>
      </c>
      <c r="V666" t="s">
        <v>55</v>
      </c>
      <c r="W666" t="s">
        <v>2050</v>
      </c>
      <c r="Y666" t="s">
        <v>30</v>
      </c>
      <c r="Z666" t="str">
        <f>IF(NOT("https://truemarkets3d.net/3d-virtual-tour/housingbank-realestate/phase3/aq-re-100186/index.html" = ""), HYPERLINK("https://truemarkets3d.net/3d-virtual-tour/housingbank-realestate/phase3/aq-re-100186/index.html", "جولة"), "")</f>
        <v>جولة</v>
      </c>
      <c r="AA666" t="str">
        <f>IF(NOT("https://maps.app.goo.gl/QsRwMkUsu8fEteyQA" = ""), HYPERLINK("https://maps.app.goo.gl/QsRwMkUsu8fEteyQA", "موقع"), "")</f>
        <v>موقع</v>
      </c>
    </row>
    <row r="667" spans="1:27" x14ac:dyDescent="0.3">
      <c r="A667" t="s">
        <v>2051</v>
      </c>
      <c r="B667" s="8">
        <v>46282.623217592591</v>
      </c>
      <c r="C667" t="s">
        <v>2</v>
      </c>
      <c r="D667" t="s">
        <v>2047</v>
      </c>
      <c r="E667" t="s">
        <v>1637</v>
      </c>
      <c r="F667" t="s">
        <v>3752</v>
      </c>
      <c r="G667" t="s">
        <v>21</v>
      </c>
      <c r="H667" t="s">
        <v>1100</v>
      </c>
      <c r="I667" t="s">
        <v>1263</v>
      </c>
      <c r="J667" t="s">
        <v>1399</v>
      </c>
      <c r="K667" t="s">
        <v>2052</v>
      </c>
      <c r="L667">
        <v>121</v>
      </c>
      <c r="M667">
        <v>883</v>
      </c>
      <c r="N667">
        <v>534000</v>
      </c>
      <c r="O667">
        <v>32.016888999999999</v>
      </c>
      <c r="P667">
        <v>35.842722000000002</v>
      </c>
      <c r="Q667" t="s">
        <v>2053</v>
      </c>
      <c r="S667" t="s">
        <v>2525</v>
      </c>
      <c r="U667" t="s">
        <v>3753</v>
      </c>
      <c r="V667" t="s">
        <v>73</v>
      </c>
      <c r="W667" t="s">
        <v>2054</v>
      </c>
      <c r="Y667" t="s">
        <v>30</v>
      </c>
      <c r="Z667" t="s">
        <v>30</v>
      </c>
      <c r="AA667" t="str">
        <f>IF(NOT("https://maps.app.goo.gl/bpQ5eUD1qqszKVWL6" = ""), HYPERLINK("https://maps.app.goo.gl/bpQ5eUD1qqszKVWL6", "موقع"), "")</f>
        <v>موقع</v>
      </c>
    </row>
    <row r="668" spans="1:27" x14ac:dyDescent="0.3">
      <c r="A668" t="s">
        <v>2055</v>
      </c>
      <c r="B668" s="8">
        <v>46282.623217592591</v>
      </c>
      <c r="C668" t="s">
        <v>2</v>
      </c>
      <c r="D668" t="s">
        <v>2047</v>
      </c>
      <c r="E668" t="s">
        <v>1683</v>
      </c>
      <c r="F668" t="s">
        <v>3754</v>
      </c>
      <c r="G668" t="s">
        <v>21</v>
      </c>
      <c r="H668" t="s">
        <v>1100</v>
      </c>
      <c r="I668" t="s">
        <v>1424</v>
      </c>
      <c r="J668" t="s">
        <v>1425</v>
      </c>
      <c r="K668" t="s">
        <v>1546</v>
      </c>
      <c r="L668">
        <v>158</v>
      </c>
      <c r="M668">
        <v>2479</v>
      </c>
      <c r="Q668" t="s">
        <v>81</v>
      </c>
      <c r="S668" t="s">
        <v>2525</v>
      </c>
      <c r="V668" t="s">
        <v>2056</v>
      </c>
      <c r="Y668" t="s">
        <v>30</v>
      </c>
      <c r="Z668" t="s">
        <v>30</v>
      </c>
      <c r="AA668" t="s">
        <v>30</v>
      </c>
    </row>
    <row r="669" spans="1:27" x14ac:dyDescent="0.3">
      <c r="A669" t="s">
        <v>2057</v>
      </c>
      <c r="B669" s="8">
        <v>46282.623217592591</v>
      </c>
      <c r="C669" t="s">
        <v>2</v>
      </c>
      <c r="D669" t="s">
        <v>2047</v>
      </c>
      <c r="E669" t="s">
        <v>1634</v>
      </c>
      <c r="F669" t="s">
        <v>3755</v>
      </c>
      <c r="G669" t="s">
        <v>21</v>
      </c>
      <c r="H669" t="s">
        <v>1100</v>
      </c>
      <c r="I669" t="s">
        <v>1101</v>
      </c>
      <c r="J669" t="s">
        <v>1102</v>
      </c>
      <c r="K669" t="s">
        <v>1633</v>
      </c>
      <c r="L669">
        <v>122</v>
      </c>
      <c r="M669">
        <v>868</v>
      </c>
      <c r="O669">
        <v>31.970777999999999</v>
      </c>
      <c r="P669">
        <v>35.899527999999997</v>
      </c>
      <c r="Q669" t="s">
        <v>559</v>
      </c>
      <c r="R669" t="s">
        <v>3756</v>
      </c>
      <c r="S669" t="s">
        <v>2579</v>
      </c>
      <c r="U669" t="s">
        <v>3757</v>
      </c>
      <c r="V669" t="s">
        <v>73</v>
      </c>
      <c r="Y669" t="s">
        <v>30</v>
      </c>
      <c r="Z669" t="str">
        <f>IF(NOT("https://truemarkets3d.net/3d-virtual-tour/housingbank-realestate/phase3/aq-re-100040/index.html" = ""), HYPERLINK("https://truemarkets3d.net/3d-virtual-tour/housingbank-realestate/phase3/aq-re-100040/index.html", "جولة"), "")</f>
        <v>جولة</v>
      </c>
      <c r="AA669" t="str">
        <f>IF(NOT("https://maps.app.goo.gl/jHwBFzGHdvHXG8GW8" = ""), HYPERLINK("https://maps.app.goo.gl/jHwBFzGHdvHXG8GW8", "موقع"), "")</f>
        <v>موقع</v>
      </c>
    </row>
    <row r="670" spans="1:27" x14ac:dyDescent="0.3">
      <c r="A670" t="s">
        <v>2058</v>
      </c>
      <c r="B670" s="8">
        <v>46282.623217592591</v>
      </c>
      <c r="C670" t="s">
        <v>2</v>
      </c>
      <c r="D670" t="s">
        <v>2047</v>
      </c>
      <c r="E670" t="s">
        <v>1634</v>
      </c>
      <c r="F670" t="s">
        <v>3758</v>
      </c>
      <c r="G670" t="s">
        <v>21</v>
      </c>
      <c r="H670" t="s">
        <v>1100</v>
      </c>
      <c r="I670" t="s">
        <v>1101</v>
      </c>
      <c r="J670" t="s">
        <v>1102</v>
      </c>
      <c r="K670" t="s">
        <v>1633</v>
      </c>
      <c r="L670">
        <v>112</v>
      </c>
      <c r="M670">
        <v>868</v>
      </c>
      <c r="O670">
        <v>31.970777999999999</v>
      </c>
      <c r="P670">
        <v>35.899527999999997</v>
      </c>
      <c r="Q670" t="s">
        <v>559</v>
      </c>
      <c r="R670" t="s">
        <v>3759</v>
      </c>
      <c r="S670" t="s">
        <v>2579</v>
      </c>
      <c r="U670" t="s">
        <v>3757</v>
      </c>
      <c r="V670" t="s">
        <v>43</v>
      </c>
      <c r="Y670" t="s">
        <v>30</v>
      </c>
      <c r="Z670" t="str">
        <f>IF(NOT("https://truemarkets3d.net/3d-virtual-tour/housingbank-realestate/phase3/aq-re-100036/index.html" = ""), HYPERLINK("https://truemarkets3d.net/3d-virtual-tour/housingbank-realestate/phase3/aq-re-100036/index.html", "جولة"), "")</f>
        <v>جولة</v>
      </c>
      <c r="AA670" t="str">
        <f>IF(NOT("https://maps.app.goo.gl/jHwBFzGHdvHXG8GW8" = ""), HYPERLINK("https://maps.app.goo.gl/jHwBFzGHdvHXG8GW8", "موقع"), "")</f>
        <v>موقع</v>
      </c>
    </row>
    <row r="671" spans="1:27" x14ac:dyDescent="0.3">
      <c r="A671" t="s">
        <v>2059</v>
      </c>
      <c r="B671" s="8">
        <v>46282.623217592591</v>
      </c>
      <c r="C671" t="s">
        <v>2</v>
      </c>
      <c r="D671" t="s">
        <v>2047</v>
      </c>
      <c r="E671" t="s">
        <v>1634</v>
      </c>
      <c r="F671" t="s">
        <v>3760</v>
      </c>
      <c r="G671" t="s">
        <v>21</v>
      </c>
      <c r="H671" t="s">
        <v>1100</v>
      </c>
      <c r="I671" t="s">
        <v>1101</v>
      </c>
      <c r="J671" t="s">
        <v>1102</v>
      </c>
      <c r="K671" t="s">
        <v>1633</v>
      </c>
      <c r="L671">
        <v>121</v>
      </c>
      <c r="M671">
        <v>868</v>
      </c>
      <c r="O671">
        <v>31.970777999999999</v>
      </c>
      <c r="P671">
        <v>35.899527999999997</v>
      </c>
      <c r="Q671" t="s">
        <v>1343</v>
      </c>
      <c r="R671" t="s">
        <v>3761</v>
      </c>
      <c r="S671" t="s">
        <v>2579</v>
      </c>
      <c r="U671" t="s">
        <v>3757</v>
      </c>
      <c r="V671" t="s">
        <v>73</v>
      </c>
      <c r="Y671" t="s">
        <v>30</v>
      </c>
      <c r="Z671" t="str">
        <f>IF(NOT("https://truemarkets3d.net/3d-virtual-tour/housingbank-realestate/phase3/aq-re-100038/index.html" = ""), HYPERLINK("https://truemarkets3d.net/3d-virtual-tour/housingbank-realestate/phase3/aq-re-100038/index.html", "جولة"), "")</f>
        <v>جولة</v>
      </c>
      <c r="AA671" t="str">
        <f>IF(NOT("https://maps.app.goo.gl/jHwBFzGHdvHXG8GW8" = ""), HYPERLINK("https://maps.app.goo.gl/jHwBFzGHdvHXG8GW8", "موقع"), "")</f>
        <v>موقع</v>
      </c>
    </row>
    <row r="672" spans="1:27" x14ac:dyDescent="0.3">
      <c r="A672" t="s">
        <v>2060</v>
      </c>
      <c r="B672" s="8">
        <v>46282.623217592591</v>
      </c>
      <c r="C672" t="s">
        <v>2</v>
      </c>
      <c r="D672" t="s">
        <v>2047</v>
      </c>
      <c r="E672" t="s">
        <v>1634</v>
      </c>
      <c r="F672" t="s">
        <v>3762</v>
      </c>
      <c r="G672" t="s">
        <v>21</v>
      </c>
      <c r="H672" t="s">
        <v>1100</v>
      </c>
      <c r="I672" t="s">
        <v>1101</v>
      </c>
      <c r="J672" t="s">
        <v>1102</v>
      </c>
      <c r="K672" t="s">
        <v>1633</v>
      </c>
      <c r="L672">
        <v>131</v>
      </c>
      <c r="M672">
        <v>868</v>
      </c>
      <c r="O672">
        <v>31.970777999999999</v>
      </c>
      <c r="P672">
        <v>35.899527999999997</v>
      </c>
      <c r="Q672" t="s">
        <v>1343</v>
      </c>
      <c r="R672" t="s">
        <v>3763</v>
      </c>
      <c r="S672" t="s">
        <v>2579</v>
      </c>
      <c r="U672" t="s">
        <v>3757</v>
      </c>
      <c r="V672" t="s">
        <v>55</v>
      </c>
      <c r="Y672" t="s">
        <v>30</v>
      </c>
      <c r="Z672" t="str">
        <f>IF(NOT("https://truemarkets3d.net/3d-virtual-tour/housingbank-realestate/phase3/aq-re-100041/index.html" = ""), HYPERLINK("https://truemarkets3d.net/3d-virtual-tour/housingbank-realestate/phase3/aq-re-100041/index.html", "جولة"), "")</f>
        <v>جولة</v>
      </c>
      <c r="AA672" t="str">
        <f>IF(NOT("https://maps.app.goo.gl/jHwBFzGHdvHXG8GW8" = ""), HYPERLINK("https://maps.app.goo.gl/jHwBFzGHdvHXG8GW8", "موقع"), "")</f>
        <v>موقع</v>
      </c>
    </row>
    <row r="673" spans="1:27" x14ac:dyDescent="0.3">
      <c r="A673" t="s">
        <v>2061</v>
      </c>
      <c r="B673" s="8">
        <v>46282.623217592591</v>
      </c>
      <c r="C673" t="s">
        <v>2</v>
      </c>
      <c r="D673" t="s">
        <v>2047</v>
      </c>
      <c r="E673" t="s">
        <v>1634</v>
      </c>
      <c r="F673" t="s">
        <v>3764</v>
      </c>
      <c r="G673" t="s">
        <v>21</v>
      </c>
      <c r="H673" t="s">
        <v>1100</v>
      </c>
      <c r="I673" t="s">
        <v>1101</v>
      </c>
      <c r="J673" t="s">
        <v>1102</v>
      </c>
      <c r="K673" t="s">
        <v>1633</v>
      </c>
      <c r="L673">
        <v>141</v>
      </c>
      <c r="M673">
        <v>868</v>
      </c>
      <c r="O673">
        <v>31.970777999999999</v>
      </c>
      <c r="P673">
        <v>35.899527999999997</v>
      </c>
      <c r="Q673" t="s">
        <v>2062</v>
      </c>
      <c r="R673" t="s">
        <v>3765</v>
      </c>
      <c r="S673" t="s">
        <v>2579</v>
      </c>
      <c r="U673" t="s">
        <v>3757</v>
      </c>
      <c r="V673" t="s">
        <v>198</v>
      </c>
      <c r="Y673" t="s">
        <v>30</v>
      </c>
      <c r="Z673" t="str">
        <f>IF(NOT("https://truemarkets3d.net/3d-virtual-tour/housingbank-realestate/phase3/aq-re-100043/index.html" = ""), HYPERLINK("https://truemarkets3d.net/3d-virtual-tour/housingbank-realestate/phase3/aq-re-100043/index.html", "جولة"), "")</f>
        <v>جولة</v>
      </c>
      <c r="AA673" t="str">
        <f>IF(NOT("https://maps.app.goo.gl/jHwBFzGHdvHXG8GW8" = ""), HYPERLINK("https://maps.app.goo.gl/jHwBFzGHdvHXG8GW8", "موقع"), "")</f>
        <v>موقع</v>
      </c>
    </row>
    <row r="674" spans="1:27" x14ac:dyDescent="0.3">
      <c r="A674" t="s">
        <v>2063</v>
      </c>
      <c r="B674" s="8">
        <v>46282.623217592591</v>
      </c>
      <c r="C674" t="s">
        <v>2</v>
      </c>
      <c r="D674" t="s">
        <v>2064</v>
      </c>
      <c r="E674" t="s">
        <v>1146</v>
      </c>
      <c r="F674" t="s">
        <v>3766</v>
      </c>
      <c r="G674" t="s">
        <v>21</v>
      </c>
      <c r="H674" t="s">
        <v>1100</v>
      </c>
      <c r="I674" t="s">
        <v>1143</v>
      </c>
      <c r="J674" t="s">
        <v>1144</v>
      </c>
      <c r="K674" t="s">
        <v>1145</v>
      </c>
      <c r="L674">
        <v>131</v>
      </c>
      <c r="M674">
        <v>1317</v>
      </c>
      <c r="O674">
        <v>31.866610999999999</v>
      </c>
      <c r="P674">
        <v>35.979861</v>
      </c>
      <c r="Q674" t="s">
        <v>2065</v>
      </c>
      <c r="R674" t="s">
        <v>3767</v>
      </c>
      <c r="S674" t="s">
        <v>2579</v>
      </c>
      <c r="U674" t="s">
        <v>3768</v>
      </c>
      <c r="V674" t="s">
        <v>55</v>
      </c>
      <c r="X674" t="s">
        <v>3769</v>
      </c>
      <c r="Y674" t="str">
        <f>IF(NOT("https://www.youtube.com/embed/cdXT-7v2jT4" = ""), HYPERLINK("https://www.youtube.com/embed/cdXT-7v2jT4", "فيديو"), "")</f>
        <v>فيديو</v>
      </c>
      <c r="Z674" t="str">
        <f>IF(NOT("https://truemarkets3d.net/3d-virtual-tour/housingbank-realestate/phase3/aq-re-100497/index.html" = ""), HYPERLINK("https://truemarkets3d.net/3d-virtual-tour/housingbank-realestate/phase3/aq-re-100497/index.html", "جولة"), "")</f>
        <v>جولة</v>
      </c>
      <c r="AA674" t="str">
        <f>IF(NOT("https://maps.app.goo.gl/w9McADekkxAhvTfr9" = ""), HYPERLINK("https://maps.app.goo.gl/w9McADekkxAhvTfr9", "موقع"), "")</f>
        <v>موقع</v>
      </c>
    </row>
    <row r="675" spans="1:27" x14ac:dyDescent="0.3">
      <c r="A675" t="s">
        <v>2066</v>
      </c>
      <c r="B675" s="8">
        <v>46282.623217592591</v>
      </c>
      <c r="C675" t="s">
        <v>2</v>
      </c>
      <c r="D675" t="s">
        <v>59</v>
      </c>
      <c r="E675" t="s">
        <v>2071</v>
      </c>
      <c r="F675" t="s">
        <v>3770</v>
      </c>
      <c r="G675" t="s">
        <v>21</v>
      </c>
      <c r="H675" t="s">
        <v>2067</v>
      </c>
      <c r="I675" t="s">
        <v>2068</v>
      </c>
      <c r="J675" t="s">
        <v>2069</v>
      </c>
      <c r="K675" t="s">
        <v>2070</v>
      </c>
      <c r="L675">
        <v>122</v>
      </c>
      <c r="M675">
        <v>1427</v>
      </c>
      <c r="N675">
        <v>10000</v>
      </c>
      <c r="O675">
        <v>29.555861</v>
      </c>
      <c r="P675">
        <v>35.002639000000002</v>
      </c>
      <c r="Q675" t="s">
        <v>2072</v>
      </c>
      <c r="S675" t="s">
        <v>2525</v>
      </c>
      <c r="U675" t="s">
        <v>3771</v>
      </c>
      <c r="V675" t="s">
        <v>73</v>
      </c>
      <c r="W675" t="s">
        <v>2073</v>
      </c>
      <c r="Y675" t="s">
        <v>30</v>
      </c>
      <c r="Z675" t="s">
        <v>30</v>
      </c>
      <c r="AA675" t="str">
        <f>IF(NOT("https://maps.app.goo.gl/BeWyApmk7QkgqGiH8" = ""), HYPERLINK("https://maps.app.goo.gl/BeWyApmk7QkgqGiH8", "موقع"), "")</f>
        <v>موقع</v>
      </c>
    </row>
    <row r="676" spans="1:27" x14ac:dyDescent="0.3">
      <c r="A676" t="s">
        <v>2074</v>
      </c>
      <c r="B676" s="8">
        <v>46282.623217592591</v>
      </c>
      <c r="C676" t="s">
        <v>2</v>
      </c>
      <c r="D676" t="s">
        <v>59</v>
      </c>
      <c r="E676" t="s">
        <v>2076</v>
      </c>
      <c r="F676" t="s">
        <v>3492</v>
      </c>
      <c r="G676" t="s">
        <v>21</v>
      </c>
      <c r="H676" t="s">
        <v>2067</v>
      </c>
      <c r="I676" t="s">
        <v>2068</v>
      </c>
      <c r="J676" t="s">
        <v>2069</v>
      </c>
      <c r="K676" t="s">
        <v>2075</v>
      </c>
      <c r="L676">
        <v>111</v>
      </c>
      <c r="M676">
        <v>758</v>
      </c>
      <c r="N676">
        <v>17000</v>
      </c>
      <c r="O676">
        <v>29.561582999999999</v>
      </c>
      <c r="P676">
        <v>35.013221999999999</v>
      </c>
      <c r="Q676" t="s">
        <v>2077</v>
      </c>
      <c r="S676" t="s">
        <v>2525</v>
      </c>
      <c r="U676" t="s">
        <v>3772</v>
      </c>
      <c r="V676" t="s">
        <v>43</v>
      </c>
      <c r="W676" t="s">
        <v>2078</v>
      </c>
      <c r="Y676" t="s">
        <v>30</v>
      </c>
      <c r="Z676" t="s">
        <v>30</v>
      </c>
      <c r="AA676" t="str">
        <f>IF(NOT("https://maps.app.goo.gl/NjZWGWM4gPdVSFy98" = ""), HYPERLINK("https://maps.app.goo.gl/NjZWGWM4gPdVSFy98", "موقع"), "")</f>
        <v>موقع</v>
      </c>
    </row>
    <row r="677" spans="1:27" x14ac:dyDescent="0.3">
      <c r="A677" t="s">
        <v>2079</v>
      </c>
      <c r="B677" s="8">
        <v>46282.623217592591</v>
      </c>
      <c r="C677" t="s">
        <v>2</v>
      </c>
      <c r="D677" t="s">
        <v>59</v>
      </c>
      <c r="E677" t="s">
        <v>2081</v>
      </c>
      <c r="F677" t="s">
        <v>3773</v>
      </c>
      <c r="G677" t="s">
        <v>21</v>
      </c>
      <c r="H677" t="s">
        <v>2067</v>
      </c>
      <c r="I677" t="s">
        <v>2068</v>
      </c>
      <c r="J677" t="s">
        <v>2069</v>
      </c>
      <c r="K677" t="s">
        <v>2080</v>
      </c>
      <c r="L677">
        <v>124</v>
      </c>
      <c r="M677">
        <v>2846</v>
      </c>
      <c r="N677">
        <v>18000</v>
      </c>
      <c r="O677">
        <v>29.59</v>
      </c>
      <c r="P677">
        <v>35.069667000000003</v>
      </c>
      <c r="Q677" t="s">
        <v>864</v>
      </c>
      <c r="S677" t="s">
        <v>2525</v>
      </c>
      <c r="U677" t="s">
        <v>3774</v>
      </c>
      <c r="V677" t="s">
        <v>73</v>
      </c>
      <c r="W677" t="s">
        <v>2082</v>
      </c>
      <c r="Y677" t="s">
        <v>30</v>
      </c>
      <c r="Z677" t="s">
        <v>30</v>
      </c>
      <c r="AA677" t="str">
        <f>IF(NOT("https://maps.app.goo.gl/wFsY2pvrwCUoWDti9" = ""), HYPERLINK("https://maps.app.goo.gl/wFsY2pvrwCUoWDti9", "موقع"), "")</f>
        <v>موقع</v>
      </c>
    </row>
    <row r="678" spans="1:27" x14ac:dyDescent="0.3">
      <c r="A678" t="s">
        <v>2083</v>
      </c>
      <c r="B678" s="8">
        <v>46282.623217592591</v>
      </c>
      <c r="C678" t="s">
        <v>2</v>
      </c>
      <c r="D678" t="s">
        <v>59</v>
      </c>
      <c r="E678" t="s">
        <v>2084</v>
      </c>
      <c r="F678" t="s">
        <v>3775</v>
      </c>
      <c r="G678" t="s">
        <v>21</v>
      </c>
      <c r="H678" t="s">
        <v>2067</v>
      </c>
      <c r="I678" t="s">
        <v>2068</v>
      </c>
      <c r="J678" t="s">
        <v>2069</v>
      </c>
      <c r="K678" t="s">
        <v>2080</v>
      </c>
      <c r="L678">
        <v>-102</v>
      </c>
      <c r="M678">
        <v>2855</v>
      </c>
      <c r="N678">
        <v>21000</v>
      </c>
      <c r="Q678" t="s">
        <v>864</v>
      </c>
      <c r="S678" t="s">
        <v>2525</v>
      </c>
      <c r="V678" t="s">
        <v>33</v>
      </c>
      <c r="W678" t="s">
        <v>2085</v>
      </c>
      <c r="Y678" t="s">
        <v>30</v>
      </c>
      <c r="Z678" t="s">
        <v>30</v>
      </c>
      <c r="AA678" t="s">
        <v>30</v>
      </c>
    </row>
    <row r="679" spans="1:27" x14ac:dyDescent="0.3">
      <c r="A679" t="s">
        <v>2086</v>
      </c>
      <c r="B679" s="8">
        <v>46282.623217592591</v>
      </c>
      <c r="C679" t="s">
        <v>2</v>
      </c>
      <c r="D679" t="s">
        <v>59</v>
      </c>
      <c r="E679" t="s">
        <v>2084</v>
      </c>
      <c r="F679" t="s">
        <v>3776</v>
      </c>
      <c r="G679" t="s">
        <v>21</v>
      </c>
      <c r="H679" t="s">
        <v>2067</v>
      </c>
      <c r="I679" t="s">
        <v>2068</v>
      </c>
      <c r="J679" t="s">
        <v>2069</v>
      </c>
      <c r="K679" t="s">
        <v>2080</v>
      </c>
      <c r="L679">
        <v>122</v>
      </c>
      <c r="M679">
        <v>2831</v>
      </c>
      <c r="N679">
        <v>22000</v>
      </c>
      <c r="O679">
        <v>29.591028000000001</v>
      </c>
      <c r="P679">
        <v>35.066749999999999</v>
      </c>
      <c r="Q679" t="s">
        <v>864</v>
      </c>
      <c r="S679" t="s">
        <v>2525</v>
      </c>
      <c r="U679" t="s">
        <v>3777</v>
      </c>
      <c r="V679" t="s">
        <v>73</v>
      </c>
      <c r="W679" t="s">
        <v>2087</v>
      </c>
      <c r="Y679" t="s">
        <v>30</v>
      </c>
      <c r="Z679" t="s">
        <v>30</v>
      </c>
      <c r="AA679" t="str">
        <f>IF(NOT("https://maps.app.goo.gl/c6KHWZSnGQShxnEK6" = ""), HYPERLINK("https://maps.app.goo.gl/c6KHWZSnGQShxnEK6", "موقع"), "")</f>
        <v>موقع</v>
      </c>
    </row>
    <row r="680" spans="1:27" x14ac:dyDescent="0.3">
      <c r="A680" t="s">
        <v>2088</v>
      </c>
      <c r="B680" s="8">
        <v>46282.623217592591</v>
      </c>
      <c r="C680" t="s">
        <v>2</v>
      </c>
      <c r="D680" t="s">
        <v>59</v>
      </c>
      <c r="E680" t="s">
        <v>2084</v>
      </c>
      <c r="F680" t="s">
        <v>3177</v>
      </c>
      <c r="G680" t="s">
        <v>21</v>
      </c>
      <c r="H680" t="s">
        <v>2067</v>
      </c>
      <c r="I680" t="s">
        <v>2068</v>
      </c>
      <c r="J680" t="s">
        <v>2069</v>
      </c>
      <c r="K680" t="s">
        <v>2080</v>
      </c>
      <c r="L680">
        <v>111</v>
      </c>
      <c r="M680">
        <v>2976</v>
      </c>
      <c r="N680">
        <v>23000</v>
      </c>
      <c r="O680">
        <v>29.590222000000001</v>
      </c>
      <c r="P680">
        <v>35.070472000000002</v>
      </c>
      <c r="Q680" t="s">
        <v>103</v>
      </c>
      <c r="S680" t="s">
        <v>2525</v>
      </c>
      <c r="U680" t="s">
        <v>3778</v>
      </c>
      <c r="V680" t="s">
        <v>43</v>
      </c>
      <c r="W680" t="s">
        <v>2089</v>
      </c>
      <c r="Y680" t="s">
        <v>30</v>
      </c>
      <c r="Z680" t="s">
        <v>30</v>
      </c>
      <c r="AA680" t="str">
        <f>IF(NOT("https://maps.app.goo.gl/ysQrTwwWYW7k2JzN6" = ""), HYPERLINK("https://maps.app.goo.gl/ysQrTwwWYW7k2JzN6", "موقع"), "")</f>
        <v>موقع</v>
      </c>
    </row>
    <row r="681" spans="1:27" x14ac:dyDescent="0.3">
      <c r="A681" t="s">
        <v>2090</v>
      </c>
      <c r="B681" s="8">
        <v>46282.623217592591</v>
      </c>
      <c r="C681" t="s">
        <v>2</v>
      </c>
      <c r="D681" t="s">
        <v>59</v>
      </c>
      <c r="E681" t="s">
        <v>2092</v>
      </c>
      <c r="F681" t="s">
        <v>3779</v>
      </c>
      <c r="G681" t="s">
        <v>21</v>
      </c>
      <c r="H681" t="s">
        <v>2067</v>
      </c>
      <c r="I681" t="s">
        <v>2068</v>
      </c>
      <c r="J681" t="s">
        <v>2069</v>
      </c>
      <c r="K681" t="s">
        <v>2091</v>
      </c>
      <c r="L681">
        <v>102</v>
      </c>
      <c r="M681">
        <v>356</v>
      </c>
      <c r="Q681" t="s">
        <v>2093</v>
      </c>
      <c r="S681" t="s">
        <v>2525</v>
      </c>
      <c r="V681" t="s">
        <v>28</v>
      </c>
      <c r="Y681" t="s">
        <v>30</v>
      </c>
      <c r="Z681" t="s">
        <v>30</v>
      </c>
      <c r="AA681" t="s">
        <v>30</v>
      </c>
    </row>
    <row r="682" spans="1:27" x14ac:dyDescent="0.3">
      <c r="A682" t="s">
        <v>2094</v>
      </c>
      <c r="B682" s="8">
        <v>46282.623217592591</v>
      </c>
      <c r="C682" t="s">
        <v>2</v>
      </c>
      <c r="D682" t="s">
        <v>59</v>
      </c>
      <c r="E682" t="s">
        <v>2092</v>
      </c>
      <c r="F682" t="s">
        <v>3780</v>
      </c>
      <c r="G682" t="s">
        <v>21</v>
      </c>
      <c r="H682" t="s">
        <v>2067</v>
      </c>
      <c r="I682" t="s">
        <v>2068</v>
      </c>
      <c r="J682" t="s">
        <v>2069</v>
      </c>
      <c r="K682" t="s">
        <v>2095</v>
      </c>
      <c r="L682">
        <v>122</v>
      </c>
      <c r="M682">
        <v>75</v>
      </c>
      <c r="O682">
        <v>29.545444</v>
      </c>
      <c r="P682">
        <v>35.030693999999997</v>
      </c>
      <c r="Q682" t="s">
        <v>2096</v>
      </c>
      <c r="S682" t="s">
        <v>2525</v>
      </c>
      <c r="U682" t="s">
        <v>3781</v>
      </c>
      <c r="V682" t="s">
        <v>73</v>
      </c>
      <c r="Y682" t="s">
        <v>30</v>
      </c>
      <c r="Z682" t="s">
        <v>30</v>
      </c>
      <c r="AA682" t="str">
        <f>IF(NOT("https://maps.app.goo.gl/q56T4qrzNhxTVmHf8" = ""), HYPERLINK("https://maps.app.goo.gl/q56T4qrzNhxTVmHf8", "موقع"), "")</f>
        <v>موقع</v>
      </c>
    </row>
    <row r="683" spans="1:27" x14ac:dyDescent="0.3">
      <c r="A683" t="s">
        <v>2097</v>
      </c>
      <c r="B683" s="8">
        <v>46282.623217592591</v>
      </c>
      <c r="C683" t="s">
        <v>2</v>
      </c>
      <c r="D683" t="s">
        <v>315</v>
      </c>
      <c r="F683" t="s">
        <v>3782</v>
      </c>
      <c r="G683" t="s">
        <v>296</v>
      </c>
      <c r="H683" t="s">
        <v>2067</v>
      </c>
      <c r="I683" t="s">
        <v>2068</v>
      </c>
      <c r="J683" t="s">
        <v>2098</v>
      </c>
      <c r="K683" t="s">
        <v>2099</v>
      </c>
      <c r="L683">
        <v>0</v>
      </c>
      <c r="M683">
        <v>729</v>
      </c>
      <c r="O683">
        <v>29.443750000000001</v>
      </c>
      <c r="P683">
        <v>34.979528000000002</v>
      </c>
      <c r="Q683" t="s">
        <v>2100</v>
      </c>
      <c r="S683" t="s">
        <v>2525</v>
      </c>
      <c r="U683" t="s">
        <v>3783</v>
      </c>
      <c r="Y683" t="s">
        <v>30</v>
      </c>
      <c r="Z683" t="s">
        <v>30</v>
      </c>
      <c r="AA683" t="str">
        <f>IF(NOT("https://maps.app.goo.gl/acxtEjfGTZzxdM5YA" = ""), HYPERLINK("https://maps.app.goo.gl/acxtEjfGTZzxdM5YA", "موقع"), "")</f>
        <v>موقع</v>
      </c>
    </row>
    <row r="684" spans="1:27" x14ac:dyDescent="0.3">
      <c r="A684" t="s">
        <v>2101</v>
      </c>
      <c r="B684" s="8">
        <v>46282.623217592591</v>
      </c>
      <c r="C684" t="s">
        <v>2</v>
      </c>
      <c r="D684" t="s">
        <v>315</v>
      </c>
      <c r="F684" t="s">
        <v>3784</v>
      </c>
      <c r="G684" t="s">
        <v>296</v>
      </c>
      <c r="H684" t="s">
        <v>2067</v>
      </c>
      <c r="I684" t="s">
        <v>2068</v>
      </c>
      <c r="J684" t="s">
        <v>2098</v>
      </c>
      <c r="K684" t="s">
        <v>2099</v>
      </c>
      <c r="L684">
        <v>0</v>
      </c>
      <c r="M684">
        <v>741</v>
      </c>
      <c r="O684">
        <v>29.443332999999999</v>
      </c>
      <c r="P684">
        <v>34.978777999999998</v>
      </c>
      <c r="Q684" t="s">
        <v>2102</v>
      </c>
      <c r="S684" t="s">
        <v>2525</v>
      </c>
      <c r="U684" t="s">
        <v>3785</v>
      </c>
      <c r="Y684" t="s">
        <v>30</v>
      </c>
      <c r="Z684" t="s">
        <v>30</v>
      </c>
      <c r="AA684" t="str">
        <f>IF(NOT("https://maps.app.goo.gl/sMsYAD8MvwUamAhp8" = ""), HYPERLINK("https://maps.app.goo.gl/sMsYAD8MvwUamAhp8", "موقع"), "")</f>
        <v>موقع</v>
      </c>
    </row>
    <row r="685" spans="1:27" x14ac:dyDescent="0.3">
      <c r="A685" t="s">
        <v>2103</v>
      </c>
      <c r="B685" s="8">
        <v>46282.623217592591</v>
      </c>
      <c r="C685" t="s">
        <v>2</v>
      </c>
      <c r="D685" t="s">
        <v>315</v>
      </c>
      <c r="F685" t="s">
        <v>3786</v>
      </c>
      <c r="G685" t="s">
        <v>296</v>
      </c>
      <c r="H685" t="s">
        <v>2067</v>
      </c>
      <c r="I685" t="s">
        <v>2068</v>
      </c>
      <c r="J685" t="s">
        <v>2098</v>
      </c>
      <c r="K685" t="s">
        <v>2099</v>
      </c>
      <c r="L685">
        <v>0</v>
      </c>
      <c r="M685">
        <v>745</v>
      </c>
      <c r="O685">
        <v>29.442639</v>
      </c>
      <c r="P685">
        <v>34.978777999999998</v>
      </c>
      <c r="Q685" t="s">
        <v>2104</v>
      </c>
      <c r="S685" t="s">
        <v>2525</v>
      </c>
      <c r="T685" t="s">
        <v>3787</v>
      </c>
      <c r="U685" t="s">
        <v>3788</v>
      </c>
      <c r="Y685" t="s">
        <v>30</v>
      </c>
      <c r="Z685" t="s">
        <v>30</v>
      </c>
      <c r="AA685" t="str">
        <f>IF(NOT("https://maps.app.goo.gl/dVvkgv9WWQKRvsbM6" = ""), HYPERLINK("https://maps.app.goo.gl/dVvkgv9WWQKRvsbM6", "موقع"), "")</f>
        <v>موقع</v>
      </c>
    </row>
    <row r="686" spans="1:27" x14ac:dyDescent="0.3">
      <c r="A686" t="s">
        <v>2105</v>
      </c>
      <c r="B686" s="8">
        <v>46282.623217592591</v>
      </c>
      <c r="C686" t="s">
        <v>2</v>
      </c>
      <c r="D686" t="s">
        <v>315</v>
      </c>
      <c r="F686" t="s">
        <v>3789</v>
      </c>
      <c r="G686" t="s">
        <v>296</v>
      </c>
      <c r="H686" t="s">
        <v>2067</v>
      </c>
      <c r="I686" t="s">
        <v>2068</v>
      </c>
      <c r="J686" t="s">
        <v>2098</v>
      </c>
      <c r="K686" t="s">
        <v>2099</v>
      </c>
      <c r="L686">
        <v>0</v>
      </c>
      <c r="M686">
        <v>734</v>
      </c>
      <c r="O686">
        <v>29.4435</v>
      </c>
      <c r="P686">
        <v>34.979638999999999</v>
      </c>
      <c r="Q686" t="s">
        <v>2106</v>
      </c>
      <c r="S686" t="s">
        <v>2525</v>
      </c>
      <c r="U686" t="s">
        <v>3790</v>
      </c>
      <c r="Y686" t="s">
        <v>30</v>
      </c>
      <c r="Z686" t="s">
        <v>30</v>
      </c>
      <c r="AA686" t="str">
        <f>IF(NOT("https://maps.app.goo.gl/uckWpZWGcqRsChhU6" = ""), HYPERLINK("https://maps.app.goo.gl/uckWpZWGcqRsChhU6", "موقع"), "")</f>
        <v>موقع</v>
      </c>
    </row>
    <row r="687" spans="1:27" x14ac:dyDescent="0.3">
      <c r="A687" t="s">
        <v>2107</v>
      </c>
      <c r="B687" s="8">
        <v>46282.623217592591</v>
      </c>
      <c r="C687" t="s">
        <v>2</v>
      </c>
      <c r="D687" t="s">
        <v>315</v>
      </c>
      <c r="F687" t="s">
        <v>3791</v>
      </c>
      <c r="G687" t="s">
        <v>296</v>
      </c>
      <c r="H687" t="s">
        <v>2067</v>
      </c>
      <c r="I687" t="s">
        <v>2068</v>
      </c>
      <c r="J687" t="s">
        <v>2098</v>
      </c>
      <c r="K687" t="s">
        <v>2099</v>
      </c>
      <c r="L687">
        <v>0</v>
      </c>
      <c r="M687">
        <v>728</v>
      </c>
      <c r="O687">
        <v>29.444056</v>
      </c>
      <c r="P687">
        <v>34.979806000000004</v>
      </c>
      <c r="Q687" t="s">
        <v>2108</v>
      </c>
      <c r="S687" t="s">
        <v>2525</v>
      </c>
      <c r="U687" t="s">
        <v>3792</v>
      </c>
      <c r="Y687" t="s">
        <v>30</v>
      </c>
      <c r="Z687" t="s">
        <v>30</v>
      </c>
      <c r="AA687" t="str">
        <f>IF(NOT("https://maps.app.goo.gl/Sxzwf7ftGR7dcE7e9" = ""), HYPERLINK("https://maps.app.goo.gl/Sxzwf7ftGR7dcE7e9", "موقع"), "")</f>
        <v>موقع</v>
      </c>
    </row>
    <row r="688" spans="1:27" x14ac:dyDescent="0.3">
      <c r="A688" t="s">
        <v>2109</v>
      </c>
      <c r="B688" s="8">
        <v>46282.623217592591</v>
      </c>
      <c r="C688" t="s">
        <v>2</v>
      </c>
      <c r="D688" t="s">
        <v>315</v>
      </c>
      <c r="F688" t="s">
        <v>3793</v>
      </c>
      <c r="G688" t="s">
        <v>296</v>
      </c>
      <c r="H688" t="s">
        <v>2067</v>
      </c>
      <c r="I688" t="s">
        <v>2068</v>
      </c>
      <c r="J688" t="s">
        <v>2098</v>
      </c>
      <c r="K688" t="s">
        <v>2099</v>
      </c>
      <c r="L688">
        <v>0</v>
      </c>
      <c r="M688">
        <v>736</v>
      </c>
      <c r="O688">
        <v>29.443639000000001</v>
      </c>
      <c r="P688">
        <v>34.979332999999997</v>
      </c>
      <c r="Q688" t="s">
        <v>2110</v>
      </c>
      <c r="S688" t="s">
        <v>2525</v>
      </c>
      <c r="U688" t="s">
        <v>3794</v>
      </c>
      <c r="Y688" t="s">
        <v>30</v>
      </c>
      <c r="Z688" t="s">
        <v>30</v>
      </c>
      <c r="AA688" t="str">
        <f>IF(NOT("https://maps.app.goo.gl/wQcbxUmcm3aMuqjB6" = ""), HYPERLINK("https://maps.app.goo.gl/wQcbxUmcm3aMuqjB6", "موقع"), "")</f>
        <v>موقع</v>
      </c>
    </row>
    <row r="689" spans="1:27" x14ac:dyDescent="0.3">
      <c r="A689" t="s">
        <v>2111</v>
      </c>
      <c r="B689" s="8">
        <v>46282.623217592591</v>
      </c>
      <c r="C689" t="s">
        <v>2</v>
      </c>
      <c r="D689" t="s">
        <v>315</v>
      </c>
      <c r="F689" t="s">
        <v>3795</v>
      </c>
      <c r="G689" t="s">
        <v>296</v>
      </c>
      <c r="H689" t="s">
        <v>2067</v>
      </c>
      <c r="I689" t="s">
        <v>2068</v>
      </c>
      <c r="J689" t="s">
        <v>2098</v>
      </c>
      <c r="K689" t="s">
        <v>2099</v>
      </c>
      <c r="L689">
        <v>0</v>
      </c>
      <c r="M689">
        <v>731</v>
      </c>
      <c r="O689">
        <v>29.443639000000001</v>
      </c>
      <c r="P689">
        <v>34.979861</v>
      </c>
      <c r="Q689" t="s">
        <v>2112</v>
      </c>
      <c r="S689" t="s">
        <v>2525</v>
      </c>
      <c r="U689" t="s">
        <v>3796</v>
      </c>
      <c r="Y689" t="s">
        <v>30</v>
      </c>
      <c r="Z689" t="s">
        <v>30</v>
      </c>
      <c r="AA689" t="str">
        <f>IF(NOT("https://maps.app.goo.gl/yFSkEpU5FfsBkCHi9" = ""), HYPERLINK("https://maps.app.goo.gl/yFSkEpU5FfsBkCHi9", "موقع"), "")</f>
        <v>موقع</v>
      </c>
    </row>
    <row r="690" spans="1:27" x14ac:dyDescent="0.3">
      <c r="A690" t="s">
        <v>2113</v>
      </c>
      <c r="B690" s="8">
        <v>46282.623217592591</v>
      </c>
      <c r="C690" t="s">
        <v>2</v>
      </c>
      <c r="D690" t="s">
        <v>315</v>
      </c>
      <c r="F690" t="s">
        <v>3797</v>
      </c>
      <c r="G690" t="s">
        <v>296</v>
      </c>
      <c r="H690" t="s">
        <v>2067</v>
      </c>
      <c r="I690" t="s">
        <v>2068</v>
      </c>
      <c r="J690" t="s">
        <v>2098</v>
      </c>
      <c r="K690" t="s">
        <v>2099</v>
      </c>
      <c r="L690">
        <v>0</v>
      </c>
      <c r="M690">
        <v>742</v>
      </c>
      <c r="O690">
        <v>29.443360999999999</v>
      </c>
      <c r="P690">
        <v>34.978639000000001</v>
      </c>
      <c r="Q690" t="s">
        <v>2114</v>
      </c>
      <c r="S690" t="s">
        <v>2525</v>
      </c>
      <c r="U690" t="s">
        <v>3798</v>
      </c>
      <c r="Y690" t="s">
        <v>30</v>
      </c>
      <c r="Z690" t="s">
        <v>30</v>
      </c>
      <c r="AA690" t="str">
        <f>IF(NOT("https://maps.app.goo.gl/3oZhiSZvSeZyg1VMA" = ""), HYPERLINK("https://maps.app.goo.gl/3oZhiSZvSeZyg1VMA", "موقع"), "")</f>
        <v>موقع</v>
      </c>
    </row>
    <row r="691" spans="1:27" x14ac:dyDescent="0.3">
      <c r="A691" t="s">
        <v>2115</v>
      </c>
      <c r="B691" s="8">
        <v>46282.623217592591</v>
      </c>
      <c r="C691" t="s">
        <v>2</v>
      </c>
      <c r="D691" t="s">
        <v>315</v>
      </c>
      <c r="F691" t="s">
        <v>3799</v>
      </c>
      <c r="G691" t="s">
        <v>296</v>
      </c>
      <c r="H691" t="s">
        <v>2067</v>
      </c>
      <c r="I691" t="s">
        <v>2068</v>
      </c>
      <c r="J691" t="s">
        <v>2098</v>
      </c>
      <c r="K691" t="s">
        <v>2099</v>
      </c>
      <c r="L691">
        <v>0</v>
      </c>
      <c r="M691">
        <v>743</v>
      </c>
      <c r="O691">
        <v>29.442722</v>
      </c>
      <c r="P691">
        <v>34.978306000000003</v>
      </c>
      <c r="Q691" t="s">
        <v>2116</v>
      </c>
      <c r="S691" t="s">
        <v>2525</v>
      </c>
      <c r="T691" t="s">
        <v>3787</v>
      </c>
      <c r="U691" t="s">
        <v>3800</v>
      </c>
      <c r="Y691" t="s">
        <v>30</v>
      </c>
      <c r="Z691" t="s">
        <v>30</v>
      </c>
      <c r="AA691" t="str">
        <f>IF(NOT("https://maps.app.goo.gl/sxpQmuA2SFPN17Hq5" = ""), HYPERLINK("https://maps.app.goo.gl/sxpQmuA2SFPN17Hq5", "موقع"), "")</f>
        <v>موقع</v>
      </c>
    </row>
    <row r="692" spans="1:27" x14ac:dyDescent="0.3">
      <c r="A692" t="s">
        <v>2117</v>
      </c>
      <c r="B692" s="8">
        <v>46282.623217592591</v>
      </c>
      <c r="C692" t="s">
        <v>2</v>
      </c>
      <c r="D692" t="s">
        <v>315</v>
      </c>
      <c r="F692" t="s">
        <v>3801</v>
      </c>
      <c r="G692" t="s">
        <v>296</v>
      </c>
      <c r="H692" t="s">
        <v>2067</v>
      </c>
      <c r="I692" t="s">
        <v>2068</v>
      </c>
      <c r="J692" t="s">
        <v>2098</v>
      </c>
      <c r="K692" t="s">
        <v>2099</v>
      </c>
      <c r="L692">
        <v>0</v>
      </c>
      <c r="M692">
        <v>733</v>
      </c>
      <c r="O692">
        <v>29.443360999999999</v>
      </c>
      <c r="P692">
        <v>34.980027999999997</v>
      </c>
      <c r="Q692" t="s">
        <v>2118</v>
      </c>
      <c r="S692" t="s">
        <v>2525</v>
      </c>
      <c r="U692" t="s">
        <v>3802</v>
      </c>
      <c r="Y692" t="s">
        <v>30</v>
      </c>
      <c r="Z692" t="s">
        <v>30</v>
      </c>
      <c r="AA692" t="str">
        <f>IF(NOT("https://maps.app.goo.gl/wKGiDDn9hYwjoSE8A" = ""), HYPERLINK("https://maps.app.goo.gl/wKGiDDn9hYwjoSE8A", "موقع"), "")</f>
        <v>موقع</v>
      </c>
    </row>
    <row r="693" spans="1:27" x14ac:dyDescent="0.3">
      <c r="A693" t="s">
        <v>2119</v>
      </c>
      <c r="B693" s="8">
        <v>46282.623217592591</v>
      </c>
      <c r="C693" t="s">
        <v>2</v>
      </c>
      <c r="D693" t="s">
        <v>315</v>
      </c>
      <c r="F693" t="s">
        <v>3803</v>
      </c>
      <c r="G693" t="s">
        <v>296</v>
      </c>
      <c r="H693" t="s">
        <v>2067</v>
      </c>
      <c r="I693" t="s">
        <v>2068</v>
      </c>
      <c r="J693" t="s">
        <v>2098</v>
      </c>
      <c r="K693" t="s">
        <v>2099</v>
      </c>
      <c r="L693">
        <v>0</v>
      </c>
      <c r="M693">
        <v>740</v>
      </c>
      <c r="O693">
        <v>29.443221999999999</v>
      </c>
      <c r="P693">
        <v>34.979083000000003</v>
      </c>
      <c r="Q693" t="s">
        <v>2120</v>
      </c>
      <c r="S693" t="s">
        <v>2525</v>
      </c>
      <c r="U693" t="s">
        <v>3804</v>
      </c>
      <c r="Y693" t="s">
        <v>30</v>
      </c>
      <c r="Z693" t="s">
        <v>30</v>
      </c>
      <c r="AA693" t="str">
        <f>IF(NOT("https://maps.app.goo.gl/eLjYtTMXYz5mX9EG8" = ""), HYPERLINK("https://maps.app.goo.gl/eLjYtTMXYz5mX9EG8", "موقع"), "")</f>
        <v>موقع</v>
      </c>
    </row>
    <row r="694" spans="1:27" x14ac:dyDescent="0.3">
      <c r="A694" t="s">
        <v>2121</v>
      </c>
      <c r="B694" s="8">
        <v>46282.623217592591</v>
      </c>
      <c r="C694" t="s">
        <v>2</v>
      </c>
      <c r="D694" t="s">
        <v>315</v>
      </c>
      <c r="E694" t="s">
        <v>345</v>
      </c>
      <c r="F694" t="s">
        <v>3805</v>
      </c>
      <c r="G694" t="s">
        <v>296</v>
      </c>
      <c r="H694" t="s">
        <v>2067</v>
      </c>
      <c r="I694" t="s">
        <v>2068</v>
      </c>
      <c r="J694" t="s">
        <v>2098</v>
      </c>
      <c r="K694" t="s">
        <v>2099</v>
      </c>
      <c r="L694">
        <v>0</v>
      </c>
      <c r="M694">
        <v>739</v>
      </c>
      <c r="O694">
        <v>29.443193999999998</v>
      </c>
      <c r="P694">
        <v>34.979360999999997</v>
      </c>
      <c r="Q694" t="s">
        <v>2122</v>
      </c>
      <c r="S694" t="s">
        <v>2525</v>
      </c>
      <c r="U694" t="s">
        <v>3806</v>
      </c>
      <c r="Y694" t="s">
        <v>30</v>
      </c>
      <c r="Z694" t="s">
        <v>30</v>
      </c>
      <c r="AA694" t="str">
        <f>IF(NOT("https://maps.app.goo.gl/c6Z5grEYjo4Mn4zK6" = ""), HYPERLINK("https://maps.app.goo.gl/c6Z5grEYjo4Mn4zK6", "موقع"), "")</f>
        <v>موقع</v>
      </c>
    </row>
    <row r="695" spans="1:27" x14ac:dyDescent="0.3">
      <c r="A695" t="s">
        <v>2123</v>
      </c>
      <c r="B695" s="8">
        <v>46282.623217592591</v>
      </c>
      <c r="C695" t="s">
        <v>2</v>
      </c>
      <c r="D695" t="s">
        <v>315</v>
      </c>
      <c r="F695" t="s">
        <v>3807</v>
      </c>
      <c r="G695" t="s">
        <v>296</v>
      </c>
      <c r="H695" t="s">
        <v>2067</v>
      </c>
      <c r="I695" t="s">
        <v>2068</v>
      </c>
      <c r="J695" t="s">
        <v>2098</v>
      </c>
      <c r="K695" t="s">
        <v>2099</v>
      </c>
      <c r="L695">
        <v>0</v>
      </c>
      <c r="M695">
        <v>732</v>
      </c>
      <c r="O695">
        <v>29.443528000000001</v>
      </c>
      <c r="P695">
        <v>34.979999999999997</v>
      </c>
      <c r="Q695" t="s">
        <v>2100</v>
      </c>
      <c r="S695" t="s">
        <v>2525</v>
      </c>
      <c r="U695" t="s">
        <v>3808</v>
      </c>
      <c r="Y695" t="s">
        <v>30</v>
      </c>
      <c r="Z695" t="s">
        <v>30</v>
      </c>
      <c r="AA695" t="str">
        <f>IF(NOT("https://maps.app.goo.gl/dGSfoa5pyvhnpvZv9" = ""), HYPERLINK("https://maps.app.goo.gl/dGSfoa5pyvhnpvZv9", "موقع"), "")</f>
        <v>موقع</v>
      </c>
    </row>
    <row r="696" spans="1:27" x14ac:dyDescent="0.3">
      <c r="A696" t="s">
        <v>2124</v>
      </c>
      <c r="B696" s="8">
        <v>46282.623217592591</v>
      </c>
      <c r="C696" t="s">
        <v>2</v>
      </c>
      <c r="D696" t="s">
        <v>451</v>
      </c>
      <c r="F696" t="s">
        <v>3809</v>
      </c>
      <c r="G696" t="s">
        <v>296</v>
      </c>
      <c r="H696" t="s">
        <v>2067</v>
      </c>
      <c r="I696" t="s">
        <v>2068</v>
      </c>
      <c r="J696" t="s">
        <v>2098</v>
      </c>
      <c r="K696" t="s">
        <v>2099</v>
      </c>
      <c r="L696">
        <v>0</v>
      </c>
      <c r="M696">
        <v>719</v>
      </c>
      <c r="O696">
        <v>29.442139000000001</v>
      </c>
      <c r="P696">
        <v>34.979999999999997</v>
      </c>
      <c r="Q696" t="s">
        <v>2125</v>
      </c>
      <c r="S696" t="s">
        <v>2525</v>
      </c>
      <c r="U696" t="s">
        <v>3810</v>
      </c>
      <c r="Y696" t="s">
        <v>30</v>
      </c>
      <c r="Z696" t="s">
        <v>30</v>
      </c>
      <c r="AA696" t="str">
        <f>IF(NOT("https://maps.app.goo.gl/8G3EJNRJnahUe9idA" = ""), HYPERLINK("https://maps.app.goo.gl/8G3EJNRJnahUe9idA", "موقع"), "")</f>
        <v>موقع</v>
      </c>
    </row>
    <row r="697" spans="1:27" x14ac:dyDescent="0.3">
      <c r="A697" t="s">
        <v>2126</v>
      </c>
      <c r="B697" s="8">
        <v>46282.623217592591</v>
      </c>
      <c r="C697" t="s">
        <v>2</v>
      </c>
      <c r="D697" t="s">
        <v>451</v>
      </c>
      <c r="F697" t="s">
        <v>3811</v>
      </c>
      <c r="G697" t="s">
        <v>296</v>
      </c>
      <c r="H697" t="s">
        <v>2067</v>
      </c>
      <c r="I697" t="s">
        <v>2068</v>
      </c>
      <c r="J697" t="s">
        <v>2098</v>
      </c>
      <c r="K697" t="s">
        <v>2099</v>
      </c>
      <c r="L697">
        <v>0</v>
      </c>
      <c r="M697">
        <v>722</v>
      </c>
      <c r="O697">
        <v>29.442639</v>
      </c>
      <c r="P697">
        <v>34.980221999999998</v>
      </c>
      <c r="Q697" t="s">
        <v>2127</v>
      </c>
      <c r="S697" t="s">
        <v>2525</v>
      </c>
      <c r="U697" t="s">
        <v>3812</v>
      </c>
      <c r="Y697" t="s">
        <v>30</v>
      </c>
      <c r="Z697" t="s">
        <v>30</v>
      </c>
      <c r="AA697" t="str">
        <f>IF(NOT("https://maps.app.goo.gl/wrUzWB7Wz56bmSjJ6" = ""), HYPERLINK("https://maps.app.goo.gl/wrUzWB7Wz56bmSjJ6", "موقع"), "")</f>
        <v>موقع</v>
      </c>
    </row>
    <row r="698" spans="1:27" x14ac:dyDescent="0.3">
      <c r="A698" t="s">
        <v>2128</v>
      </c>
      <c r="B698" s="8">
        <v>46282.623217592591</v>
      </c>
      <c r="C698" t="s">
        <v>2</v>
      </c>
      <c r="D698" t="s">
        <v>451</v>
      </c>
      <c r="F698" t="s">
        <v>3813</v>
      </c>
      <c r="G698" t="s">
        <v>296</v>
      </c>
      <c r="H698" t="s">
        <v>2067</v>
      </c>
      <c r="I698" t="s">
        <v>2068</v>
      </c>
      <c r="J698" t="s">
        <v>2098</v>
      </c>
      <c r="K698" t="s">
        <v>2099</v>
      </c>
      <c r="L698">
        <v>0</v>
      </c>
      <c r="M698">
        <v>717</v>
      </c>
      <c r="O698">
        <v>29.442527999999999</v>
      </c>
      <c r="P698">
        <v>34.979806000000004</v>
      </c>
      <c r="Q698" t="s">
        <v>2129</v>
      </c>
      <c r="S698" t="s">
        <v>2525</v>
      </c>
      <c r="U698" t="s">
        <v>3814</v>
      </c>
      <c r="Y698" t="s">
        <v>30</v>
      </c>
      <c r="Z698" t="s">
        <v>30</v>
      </c>
      <c r="AA698" t="str">
        <f>IF(NOT("https://maps.app.goo.gl/tXuxhwExAkSccyrt8" = ""), HYPERLINK("https://maps.app.goo.gl/tXuxhwExAkSccyrt8", "موقع"), "")</f>
        <v>موقع</v>
      </c>
    </row>
    <row r="699" spans="1:27" x14ac:dyDescent="0.3">
      <c r="A699" t="s">
        <v>2130</v>
      </c>
      <c r="B699" s="8">
        <v>46282.623217592591</v>
      </c>
      <c r="C699" t="s">
        <v>2</v>
      </c>
      <c r="D699" t="s">
        <v>451</v>
      </c>
      <c r="F699" t="s">
        <v>3815</v>
      </c>
      <c r="G699" t="s">
        <v>296</v>
      </c>
      <c r="H699" t="s">
        <v>2067</v>
      </c>
      <c r="I699" t="s">
        <v>2068</v>
      </c>
      <c r="J699" t="s">
        <v>2098</v>
      </c>
      <c r="K699" t="s">
        <v>2099</v>
      </c>
      <c r="L699">
        <v>0</v>
      </c>
      <c r="M699">
        <v>714</v>
      </c>
      <c r="O699">
        <v>29.442250000000001</v>
      </c>
      <c r="P699">
        <v>34.979472000000001</v>
      </c>
      <c r="Q699" t="s">
        <v>2131</v>
      </c>
      <c r="S699" t="s">
        <v>2525</v>
      </c>
      <c r="U699" t="s">
        <v>3816</v>
      </c>
      <c r="Y699" t="s">
        <v>30</v>
      </c>
      <c r="Z699" t="s">
        <v>30</v>
      </c>
      <c r="AA699" t="str">
        <f>IF(NOT("https://maps.app.goo.gl/W8TTghfSHfGXq18T8" = ""), HYPERLINK("https://maps.app.goo.gl/W8TTghfSHfGXq18T8", "موقع"), "")</f>
        <v>موقع</v>
      </c>
    </row>
    <row r="700" spans="1:27" x14ac:dyDescent="0.3">
      <c r="A700" t="s">
        <v>2132</v>
      </c>
      <c r="B700" s="8">
        <v>46282.623217592591</v>
      </c>
      <c r="C700" t="s">
        <v>2</v>
      </c>
      <c r="D700" t="s">
        <v>451</v>
      </c>
      <c r="F700" t="s">
        <v>3817</v>
      </c>
      <c r="G700" t="s">
        <v>296</v>
      </c>
      <c r="H700" t="s">
        <v>2067</v>
      </c>
      <c r="I700" t="s">
        <v>2068</v>
      </c>
      <c r="J700" t="s">
        <v>2098</v>
      </c>
      <c r="K700" t="s">
        <v>2099</v>
      </c>
      <c r="L700">
        <v>0</v>
      </c>
      <c r="M700">
        <v>720</v>
      </c>
      <c r="O700">
        <v>29.442139000000001</v>
      </c>
      <c r="P700">
        <v>34.980305999999999</v>
      </c>
      <c r="Q700" t="s">
        <v>2133</v>
      </c>
      <c r="S700" t="s">
        <v>2525</v>
      </c>
      <c r="U700" t="s">
        <v>3818</v>
      </c>
      <c r="Y700" t="s">
        <v>30</v>
      </c>
      <c r="Z700" t="s">
        <v>30</v>
      </c>
      <c r="AA700" t="str">
        <f>IF(NOT("https://maps.app.goo.gl/Qc2cF177jLpHNhLs8" = ""), HYPERLINK("https://maps.app.goo.gl/Qc2cF177jLpHNhLs8", "موقع"), "")</f>
        <v>موقع</v>
      </c>
    </row>
    <row r="701" spans="1:27" x14ac:dyDescent="0.3">
      <c r="A701" t="s">
        <v>2134</v>
      </c>
      <c r="B701" s="8">
        <v>46282.623217592591</v>
      </c>
      <c r="C701" t="s">
        <v>2</v>
      </c>
      <c r="D701" t="s">
        <v>451</v>
      </c>
      <c r="E701" t="s">
        <v>345</v>
      </c>
      <c r="F701" t="s">
        <v>3819</v>
      </c>
      <c r="G701" t="s">
        <v>296</v>
      </c>
      <c r="H701" t="s">
        <v>2067</v>
      </c>
      <c r="I701" t="s">
        <v>2068</v>
      </c>
      <c r="J701" t="s">
        <v>2098</v>
      </c>
      <c r="K701" t="s">
        <v>2099</v>
      </c>
      <c r="L701">
        <v>0</v>
      </c>
      <c r="M701">
        <v>713</v>
      </c>
      <c r="O701">
        <v>29.441917</v>
      </c>
      <c r="P701">
        <v>34.979500000000002</v>
      </c>
      <c r="Q701" t="s">
        <v>2135</v>
      </c>
      <c r="S701" t="s">
        <v>2525</v>
      </c>
      <c r="U701" t="s">
        <v>3820</v>
      </c>
      <c r="Y701" t="s">
        <v>30</v>
      </c>
      <c r="Z701" t="s">
        <v>30</v>
      </c>
      <c r="AA701" t="str">
        <f>IF(NOT("https://maps.app.goo.gl/NHNYW4VsHNzLZyjp7" = ""), HYPERLINK("https://maps.app.goo.gl/NHNYW4VsHNzLZyjp7", "موقع"), "")</f>
        <v>موقع</v>
      </c>
    </row>
    <row r="702" spans="1:27" x14ac:dyDescent="0.3">
      <c r="A702" t="s">
        <v>2136</v>
      </c>
      <c r="B702" s="8">
        <v>46282.623217592591</v>
      </c>
      <c r="C702" t="s">
        <v>2</v>
      </c>
      <c r="D702" t="s">
        <v>451</v>
      </c>
      <c r="F702" t="s">
        <v>3821</v>
      </c>
      <c r="G702" t="s">
        <v>296</v>
      </c>
      <c r="H702" t="s">
        <v>2067</v>
      </c>
      <c r="I702" t="s">
        <v>2068</v>
      </c>
      <c r="J702" t="s">
        <v>2098</v>
      </c>
      <c r="K702" t="s">
        <v>2099</v>
      </c>
      <c r="L702">
        <v>0</v>
      </c>
      <c r="M702">
        <v>718</v>
      </c>
      <c r="O702">
        <v>29.442305999999999</v>
      </c>
      <c r="P702">
        <v>34.979917</v>
      </c>
      <c r="Q702" t="s">
        <v>2137</v>
      </c>
      <c r="S702" t="s">
        <v>2525</v>
      </c>
      <c r="U702" t="s">
        <v>3822</v>
      </c>
      <c r="Y702" t="s">
        <v>30</v>
      </c>
      <c r="Z702" t="s">
        <v>30</v>
      </c>
      <c r="AA702" t="str">
        <f>IF(NOT("https://maps.app.goo.gl/8dWfuwXEzYH1TaWH7" = ""), HYPERLINK("https://maps.app.goo.gl/8dWfuwXEzYH1TaWH7", "موقع"), "")</f>
        <v>موقع</v>
      </c>
    </row>
    <row r="703" spans="1:27" x14ac:dyDescent="0.3">
      <c r="A703" t="s">
        <v>2138</v>
      </c>
      <c r="B703" s="8">
        <v>46282.623217592591</v>
      </c>
      <c r="C703" t="s">
        <v>2</v>
      </c>
      <c r="D703" t="s">
        <v>451</v>
      </c>
      <c r="F703" t="s">
        <v>3823</v>
      </c>
      <c r="G703" t="s">
        <v>296</v>
      </c>
      <c r="H703" t="s">
        <v>2067</v>
      </c>
      <c r="I703" t="s">
        <v>2068</v>
      </c>
      <c r="J703" t="s">
        <v>2098</v>
      </c>
      <c r="K703" t="s">
        <v>2099</v>
      </c>
      <c r="L703">
        <v>0</v>
      </c>
      <c r="M703">
        <v>721</v>
      </c>
      <c r="O703">
        <v>29.442360999999998</v>
      </c>
      <c r="P703">
        <v>34.980305999999999</v>
      </c>
      <c r="Q703" t="s">
        <v>2139</v>
      </c>
      <c r="S703" t="s">
        <v>2525</v>
      </c>
      <c r="U703" t="s">
        <v>3824</v>
      </c>
      <c r="Y703" t="s">
        <v>30</v>
      </c>
      <c r="Z703" t="s">
        <v>30</v>
      </c>
      <c r="AA703" t="str">
        <f>IF(NOT("https://maps.app.goo.gl/AwEBGUWkkSN1CPzq8" = ""), HYPERLINK("https://maps.app.goo.gl/AwEBGUWkkSN1CPzq8", "موقع"), "")</f>
        <v>موقع</v>
      </c>
    </row>
    <row r="704" spans="1:27" x14ac:dyDescent="0.3">
      <c r="A704" t="s">
        <v>2140</v>
      </c>
      <c r="B704" s="8">
        <v>46282.623217592591</v>
      </c>
      <c r="C704" t="s">
        <v>2</v>
      </c>
      <c r="D704" t="s">
        <v>469</v>
      </c>
      <c r="F704" t="s">
        <v>3825</v>
      </c>
      <c r="G704" t="s">
        <v>468</v>
      </c>
      <c r="H704" t="s">
        <v>2067</v>
      </c>
      <c r="I704" t="s">
        <v>2068</v>
      </c>
      <c r="J704" t="s">
        <v>2098</v>
      </c>
      <c r="K704" t="s">
        <v>2099</v>
      </c>
      <c r="L704">
        <v>0</v>
      </c>
      <c r="M704">
        <v>746</v>
      </c>
      <c r="O704">
        <v>29.442416999999999</v>
      </c>
      <c r="P704">
        <v>34.977639000000003</v>
      </c>
      <c r="Q704" t="s">
        <v>2141</v>
      </c>
      <c r="S704" t="s">
        <v>2525</v>
      </c>
      <c r="T704" t="s">
        <v>3787</v>
      </c>
      <c r="U704" t="s">
        <v>3826</v>
      </c>
      <c r="Y704" t="s">
        <v>30</v>
      </c>
      <c r="Z704" t="s">
        <v>30</v>
      </c>
      <c r="AA704" t="str">
        <f>IF(NOT("https://maps.app.goo.gl/aqXFne7ZPGK5iBg69" = ""), HYPERLINK("https://maps.app.goo.gl/aqXFne7ZPGK5iBg69", "موقع"), "")</f>
        <v>موقع</v>
      </c>
    </row>
    <row r="705" spans="1:27" x14ac:dyDescent="0.3">
      <c r="A705" t="s">
        <v>2142</v>
      </c>
      <c r="B705" s="8">
        <v>46282.623217592591</v>
      </c>
      <c r="C705" t="s">
        <v>2</v>
      </c>
      <c r="D705" t="s">
        <v>469</v>
      </c>
      <c r="F705" t="s">
        <v>3827</v>
      </c>
      <c r="G705" t="s">
        <v>468</v>
      </c>
      <c r="H705" t="s">
        <v>2067</v>
      </c>
      <c r="I705" t="s">
        <v>2068</v>
      </c>
      <c r="J705" t="s">
        <v>2098</v>
      </c>
      <c r="K705" t="s">
        <v>2099</v>
      </c>
      <c r="L705">
        <v>0</v>
      </c>
      <c r="M705">
        <v>730</v>
      </c>
      <c r="O705">
        <v>29.443833000000001</v>
      </c>
      <c r="P705">
        <v>34.979832999999999</v>
      </c>
      <c r="Q705" t="s">
        <v>2143</v>
      </c>
      <c r="S705" t="s">
        <v>2525</v>
      </c>
      <c r="U705" t="s">
        <v>3828</v>
      </c>
      <c r="Y705" t="s">
        <v>30</v>
      </c>
      <c r="Z705" t="s">
        <v>30</v>
      </c>
      <c r="AA705" t="str">
        <f>IF(NOT("https://maps.app.goo.gl/iFvRf3C4SZN4DtJJ9" = ""), HYPERLINK("https://maps.app.goo.gl/iFvRf3C4SZN4DtJJ9", "موقع"), "")</f>
        <v>موقع</v>
      </c>
    </row>
    <row r="706" spans="1:27" x14ac:dyDescent="0.3">
      <c r="A706" t="s">
        <v>2144</v>
      </c>
      <c r="B706" s="8">
        <v>46282.623217592591</v>
      </c>
      <c r="C706" t="s">
        <v>2</v>
      </c>
      <c r="D706" t="s">
        <v>469</v>
      </c>
      <c r="F706" t="s">
        <v>3829</v>
      </c>
      <c r="G706" t="s">
        <v>468</v>
      </c>
      <c r="H706" t="s">
        <v>2067</v>
      </c>
      <c r="I706" t="s">
        <v>2068</v>
      </c>
      <c r="J706" t="s">
        <v>2098</v>
      </c>
      <c r="K706" t="s">
        <v>2099</v>
      </c>
      <c r="L706">
        <v>0</v>
      </c>
      <c r="M706">
        <v>749</v>
      </c>
      <c r="O706">
        <v>29.442416999999999</v>
      </c>
      <c r="P706">
        <v>34.978417</v>
      </c>
      <c r="Q706" t="s">
        <v>542</v>
      </c>
      <c r="S706" t="s">
        <v>2525</v>
      </c>
      <c r="T706" t="s">
        <v>3787</v>
      </c>
      <c r="U706" t="s">
        <v>3830</v>
      </c>
      <c r="Y706" t="s">
        <v>30</v>
      </c>
      <c r="Z706" t="s">
        <v>30</v>
      </c>
      <c r="AA706" t="str">
        <f>IF(NOT("https://maps.app.goo.gl/ZE2GSWey3vABfdF6A" = ""), HYPERLINK("https://maps.app.goo.gl/ZE2GSWey3vABfdF6A", "موقع"), "")</f>
        <v>موقع</v>
      </c>
    </row>
    <row r="707" spans="1:27" x14ac:dyDescent="0.3">
      <c r="A707" t="s">
        <v>2145</v>
      </c>
      <c r="B707" s="8">
        <v>46282.623217592591</v>
      </c>
      <c r="C707" t="s">
        <v>2</v>
      </c>
      <c r="D707" t="s">
        <v>469</v>
      </c>
      <c r="F707" t="s">
        <v>3831</v>
      </c>
      <c r="G707" t="s">
        <v>468</v>
      </c>
      <c r="H707" t="s">
        <v>2067</v>
      </c>
      <c r="I707" t="s">
        <v>2068</v>
      </c>
      <c r="J707" t="s">
        <v>2098</v>
      </c>
      <c r="K707" t="s">
        <v>2099</v>
      </c>
      <c r="L707">
        <v>0</v>
      </c>
      <c r="M707">
        <v>735</v>
      </c>
      <c r="O707">
        <v>29.443332999999999</v>
      </c>
      <c r="P707">
        <v>34.979722000000002</v>
      </c>
      <c r="Q707" t="s">
        <v>2146</v>
      </c>
      <c r="S707" t="s">
        <v>2525</v>
      </c>
      <c r="U707" t="s">
        <v>3832</v>
      </c>
      <c r="Y707" t="s">
        <v>30</v>
      </c>
      <c r="Z707" t="s">
        <v>30</v>
      </c>
      <c r="AA707" t="str">
        <f>IF(NOT("https://maps.app.goo.gl/zTzHGbzdVNQ797yP9" = ""), HYPERLINK("https://maps.app.goo.gl/zTzHGbzdVNQ797yP9", "موقع"), "")</f>
        <v>موقع</v>
      </c>
    </row>
    <row r="708" spans="1:27" x14ac:dyDescent="0.3">
      <c r="A708" t="s">
        <v>2147</v>
      </c>
      <c r="B708" s="8">
        <v>46282.623217592591</v>
      </c>
      <c r="C708" t="s">
        <v>2</v>
      </c>
      <c r="D708" t="s">
        <v>469</v>
      </c>
      <c r="F708" t="s">
        <v>3833</v>
      </c>
      <c r="G708" t="s">
        <v>468</v>
      </c>
      <c r="H708" t="s">
        <v>2067</v>
      </c>
      <c r="I708" t="s">
        <v>2068</v>
      </c>
      <c r="J708" t="s">
        <v>2098</v>
      </c>
      <c r="K708" t="s">
        <v>2099</v>
      </c>
      <c r="L708">
        <v>0</v>
      </c>
      <c r="M708">
        <v>724</v>
      </c>
      <c r="O708">
        <v>29.442610999999999</v>
      </c>
      <c r="P708">
        <v>34.981000000000002</v>
      </c>
      <c r="Q708" t="s">
        <v>2148</v>
      </c>
      <c r="S708" t="s">
        <v>2525</v>
      </c>
      <c r="U708" t="s">
        <v>3834</v>
      </c>
      <c r="Y708" t="s">
        <v>30</v>
      </c>
      <c r="Z708" t="s">
        <v>30</v>
      </c>
      <c r="AA708" t="str">
        <f>IF(NOT("https://maps.app.goo.gl/eYCnPrHRR1r2vCb2A" = ""), HYPERLINK("https://maps.app.goo.gl/eYCnPrHRR1r2vCb2A", "موقع"), "")</f>
        <v>موقع</v>
      </c>
    </row>
    <row r="709" spans="1:27" x14ac:dyDescent="0.3">
      <c r="A709" t="s">
        <v>2149</v>
      </c>
      <c r="B709" s="8">
        <v>46282.623217592591</v>
      </c>
      <c r="C709" t="s">
        <v>2</v>
      </c>
      <c r="D709" t="s">
        <v>469</v>
      </c>
      <c r="F709" t="s">
        <v>3835</v>
      </c>
      <c r="G709" t="s">
        <v>468</v>
      </c>
      <c r="H709" t="s">
        <v>2067</v>
      </c>
      <c r="I709" t="s">
        <v>2068</v>
      </c>
      <c r="J709" t="s">
        <v>2098</v>
      </c>
      <c r="K709" t="s">
        <v>2099</v>
      </c>
      <c r="L709">
        <v>0</v>
      </c>
      <c r="M709">
        <v>752</v>
      </c>
      <c r="O709">
        <v>29.443110999999998</v>
      </c>
      <c r="P709">
        <v>34.977443999999998</v>
      </c>
      <c r="Q709" t="s">
        <v>2150</v>
      </c>
      <c r="S709" t="s">
        <v>2525</v>
      </c>
      <c r="T709" t="s">
        <v>3787</v>
      </c>
      <c r="U709" t="s">
        <v>3836</v>
      </c>
      <c r="Y709" t="s">
        <v>30</v>
      </c>
      <c r="Z709" t="s">
        <v>30</v>
      </c>
      <c r="AA709" t="str">
        <f>IF(NOT("https://maps.app.goo.gl/cXE6xjXwPq8QKvLu5" = ""), HYPERLINK("https://maps.app.goo.gl/cXE6xjXwPq8QKvLu5", "موقع"), "")</f>
        <v>موقع</v>
      </c>
    </row>
    <row r="710" spans="1:27" x14ac:dyDescent="0.3">
      <c r="A710" t="s">
        <v>2151</v>
      </c>
      <c r="B710" s="8">
        <v>46282.623217592591</v>
      </c>
      <c r="C710" t="s">
        <v>2</v>
      </c>
      <c r="D710" t="s">
        <v>469</v>
      </c>
      <c r="F710" t="s">
        <v>3837</v>
      </c>
      <c r="G710" t="s">
        <v>468</v>
      </c>
      <c r="H710" t="s">
        <v>2067</v>
      </c>
      <c r="I710" t="s">
        <v>2068</v>
      </c>
      <c r="J710" t="s">
        <v>2098</v>
      </c>
      <c r="K710" t="s">
        <v>2099</v>
      </c>
      <c r="L710">
        <v>0</v>
      </c>
      <c r="M710">
        <v>750</v>
      </c>
      <c r="O710">
        <v>29.442305999999999</v>
      </c>
      <c r="P710">
        <v>34.978444000000003</v>
      </c>
      <c r="Q710" t="s">
        <v>797</v>
      </c>
      <c r="S710" t="s">
        <v>2525</v>
      </c>
      <c r="T710" t="s">
        <v>3787</v>
      </c>
      <c r="U710" t="s">
        <v>3838</v>
      </c>
      <c r="Y710" t="s">
        <v>30</v>
      </c>
      <c r="Z710" t="s">
        <v>30</v>
      </c>
      <c r="AA710" t="str">
        <f>IF(NOT("https://maps.app.goo.gl/JN9bmXK2ZX3hZhNG7" = ""), HYPERLINK("https://maps.app.goo.gl/JN9bmXK2ZX3hZhNG7", "موقع"), "")</f>
        <v>موقع</v>
      </c>
    </row>
    <row r="711" spans="1:27" x14ac:dyDescent="0.3">
      <c r="A711" t="s">
        <v>2152</v>
      </c>
      <c r="B711" s="8">
        <v>46282.623217592591</v>
      </c>
      <c r="C711" t="s">
        <v>2</v>
      </c>
      <c r="D711" t="s">
        <v>469</v>
      </c>
      <c r="F711" t="s">
        <v>3839</v>
      </c>
      <c r="G711" t="s">
        <v>468</v>
      </c>
      <c r="H711" t="s">
        <v>2067</v>
      </c>
      <c r="I711" t="s">
        <v>2068</v>
      </c>
      <c r="J711" t="s">
        <v>2098</v>
      </c>
      <c r="K711" t="s">
        <v>2099</v>
      </c>
      <c r="L711">
        <v>0</v>
      </c>
      <c r="M711">
        <v>738</v>
      </c>
      <c r="O711">
        <v>29.443055999999999</v>
      </c>
      <c r="P711">
        <v>34.978667000000002</v>
      </c>
      <c r="Q711" t="s">
        <v>2153</v>
      </c>
      <c r="S711" t="s">
        <v>2525</v>
      </c>
      <c r="U711" t="s">
        <v>3840</v>
      </c>
      <c r="Y711" t="s">
        <v>30</v>
      </c>
      <c r="Z711" t="s">
        <v>30</v>
      </c>
      <c r="AA711" t="str">
        <f>IF(NOT("https://maps.app.goo.gl/1LZXqjAaV37VxDD18" = ""), HYPERLINK("https://maps.app.goo.gl/1LZXqjAaV37VxDD18", "موقع"), "")</f>
        <v>موقع</v>
      </c>
    </row>
    <row r="712" spans="1:27" x14ac:dyDescent="0.3">
      <c r="A712" t="s">
        <v>2154</v>
      </c>
      <c r="B712" s="8">
        <v>46282.623217592591</v>
      </c>
      <c r="C712" t="s">
        <v>2</v>
      </c>
      <c r="D712" t="s">
        <v>469</v>
      </c>
      <c r="F712" t="s">
        <v>3841</v>
      </c>
      <c r="G712" t="s">
        <v>468</v>
      </c>
      <c r="H712" t="s">
        <v>2067</v>
      </c>
      <c r="I712" t="s">
        <v>2068</v>
      </c>
      <c r="J712" t="s">
        <v>2098</v>
      </c>
      <c r="K712" t="s">
        <v>2099</v>
      </c>
      <c r="L712">
        <v>0</v>
      </c>
      <c r="M712">
        <v>725</v>
      </c>
      <c r="O712">
        <v>29.443556000000001</v>
      </c>
      <c r="P712">
        <v>34.980778000000001</v>
      </c>
      <c r="Q712" t="s">
        <v>2155</v>
      </c>
      <c r="S712" t="s">
        <v>2525</v>
      </c>
      <c r="U712" t="s">
        <v>3842</v>
      </c>
      <c r="Y712" t="s">
        <v>30</v>
      </c>
      <c r="Z712" t="s">
        <v>30</v>
      </c>
      <c r="AA712" t="str">
        <f>IF(NOT("https://maps.app.goo.gl/AUVBSpwWNfJvCNb89" = ""), HYPERLINK("https://maps.app.goo.gl/AUVBSpwWNfJvCNb89", "موقع"), "")</f>
        <v>موقع</v>
      </c>
    </row>
    <row r="713" spans="1:27" x14ac:dyDescent="0.3">
      <c r="A713" t="s">
        <v>2156</v>
      </c>
      <c r="B713" s="8">
        <v>46282.623217592591</v>
      </c>
      <c r="C713" t="s">
        <v>2</v>
      </c>
      <c r="D713" t="s">
        <v>469</v>
      </c>
      <c r="F713" t="s">
        <v>3843</v>
      </c>
      <c r="G713" t="s">
        <v>468</v>
      </c>
      <c r="H713" t="s">
        <v>2067</v>
      </c>
      <c r="I713" t="s">
        <v>2068</v>
      </c>
      <c r="J713" t="s">
        <v>2098</v>
      </c>
      <c r="K713" t="s">
        <v>2099</v>
      </c>
      <c r="L713">
        <v>0</v>
      </c>
      <c r="M713">
        <v>747</v>
      </c>
      <c r="O713">
        <v>29.442556</v>
      </c>
      <c r="P713">
        <v>34.978082999999998</v>
      </c>
      <c r="Q713" t="s">
        <v>2157</v>
      </c>
      <c r="S713" t="s">
        <v>2525</v>
      </c>
      <c r="T713" t="s">
        <v>3787</v>
      </c>
      <c r="U713" t="s">
        <v>3844</v>
      </c>
      <c r="Y713" t="s">
        <v>30</v>
      </c>
      <c r="Z713" t="s">
        <v>30</v>
      </c>
      <c r="AA713" t="str">
        <f>IF(NOT("https://maps.app.goo.gl/8SAbCTc8QqVS1Mn97" = ""), HYPERLINK("https://maps.app.goo.gl/8SAbCTc8QqVS1Mn97", "موقع"), "")</f>
        <v>موقع</v>
      </c>
    </row>
    <row r="714" spans="1:27" x14ac:dyDescent="0.3">
      <c r="A714" t="s">
        <v>2158</v>
      </c>
      <c r="B714" s="8">
        <v>46282.623217592591</v>
      </c>
      <c r="C714" t="s">
        <v>2</v>
      </c>
      <c r="D714" t="s">
        <v>532</v>
      </c>
      <c r="E714" t="s">
        <v>2160</v>
      </c>
      <c r="F714" t="s">
        <v>3845</v>
      </c>
      <c r="G714" t="s">
        <v>296</v>
      </c>
      <c r="H714" t="s">
        <v>2067</v>
      </c>
      <c r="I714" t="s">
        <v>2068</v>
      </c>
      <c r="J714" t="s">
        <v>2069</v>
      </c>
      <c r="K714" t="s">
        <v>2159</v>
      </c>
      <c r="L714">
        <v>0</v>
      </c>
      <c r="M714">
        <v>705</v>
      </c>
      <c r="N714">
        <v>595000</v>
      </c>
      <c r="Q714" t="s">
        <v>2161</v>
      </c>
      <c r="S714" t="s">
        <v>2525</v>
      </c>
      <c r="W714" t="s">
        <v>2162</v>
      </c>
      <c r="Y714" t="s">
        <v>30</v>
      </c>
      <c r="Z714" t="s">
        <v>30</v>
      </c>
      <c r="AA714" t="s">
        <v>30</v>
      </c>
    </row>
    <row r="715" spans="1:27" x14ac:dyDescent="0.3">
      <c r="A715" t="s">
        <v>2163</v>
      </c>
      <c r="B715" s="8">
        <v>46282.623217592591</v>
      </c>
      <c r="C715" t="s">
        <v>2</v>
      </c>
      <c r="D715" t="s">
        <v>532</v>
      </c>
      <c r="E715" t="s">
        <v>2160</v>
      </c>
      <c r="F715" t="s">
        <v>3846</v>
      </c>
      <c r="G715" t="s">
        <v>296</v>
      </c>
      <c r="H715" t="s">
        <v>2067</v>
      </c>
      <c r="I715" t="s">
        <v>2068</v>
      </c>
      <c r="J715" t="s">
        <v>2069</v>
      </c>
      <c r="K715" t="s">
        <v>2159</v>
      </c>
      <c r="L715">
        <v>0</v>
      </c>
      <c r="M715">
        <v>706</v>
      </c>
      <c r="Q715" t="s">
        <v>2164</v>
      </c>
      <c r="S715" t="s">
        <v>2525</v>
      </c>
      <c r="Y715" t="s">
        <v>30</v>
      </c>
      <c r="Z715" t="s">
        <v>30</v>
      </c>
      <c r="AA715" t="s">
        <v>30</v>
      </c>
    </row>
    <row r="716" spans="1:27" x14ac:dyDescent="0.3">
      <c r="A716" t="s">
        <v>2163</v>
      </c>
      <c r="B716" s="8">
        <v>46282.623217592591</v>
      </c>
      <c r="C716" t="s">
        <v>2</v>
      </c>
      <c r="D716" t="s">
        <v>532</v>
      </c>
      <c r="E716" t="s">
        <v>2160</v>
      </c>
      <c r="F716" t="s">
        <v>3846</v>
      </c>
      <c r="G716" t="s">
        <v>296</v>
      </c>
      <c r="H716" t="s">
        <v>2067</v>
      </c>
      <c r="I716" t="s">
        <v>2068</v>
      </c>
      <c r="J716" t="s">
        <v>2069</v>
      </c>
      <c r="K716" t="s">
        <v>2159</v>
      </c>
      <c r="L716">
        <v>0</v>
      </c>
      <c r="M716">
        <v>706</v>
      </c>
      <c r="Q716" t="s">
        <v>2165</v>
      </c>
      <c r="S716" t="s">
        <v>2525</v>
      </c>
      <c r="Y716" t="s">
        <v>30</v>
      </c>
      <c r="Z716" t="s">
        <v>30</v>
      </c>
      <c r="AA716" t="s">
        <v>30</v>
      </c>
    </row>
    <row r="717" spans="1:27" x14ac:dyDescent="0.3">
      <c r="A717" t="s">
        <v>2166</v>
      </c>
      <c r="B717" s="8">
        <v>46282.623217592591</v>
      </c>
      <c r="C717" t="s">
        <v>2</v>
      </c>
      <c r="D717" t="s">
        <v>59</v>
      </c>
      <c r="E717" t="s">
        <v>2170</v>
      </c>
      <c r="F717" t="s">
        <v>3847</v>
      </c>
      <c r="G717" t="s">
        <v>21</v>
      </c>
      <c r="H717" t="s">
        <v>2167</v>
      </c>
      <c r="I717" t="s">
        <v>2168</v>
      </c>
      <c r="J717" t="s">
        <v>2169</v>
      </c>
      <c r="K717" t="s">
        <v>119</v>
      </c>
      <c r="L717">
        <v>111</v>
      </c>
      <c r="M717">
        <v>730</v>
      </c>
      <c r="N717">
        <v>13000</v>
      </c>
      <c r="Q717" t="s">
        <v>802</v>
      </c>
      <c r="S717" t="s">
        <v>2525</v>
      </c>
      <c r="V717" t="s">
        <v>43</v>
      </c>
      <c r="W717" t="s">
        <v>2171</v>
      </c>
      <c r="Y717" t="s">
        <v>30</v>
      </c>
      <c r="Z717" t="s">
        <v>30</v>
      </c>
      <c r="AA717" t="s">
        <v>30</v>
      </c>
    </row>
    <row r="718" spans="1:27" x14ac:dyDescent="0.3">
      <c r="A718" t="s">
        <v>2172</v>
      </c>
      <c r="B718" s="8">
        <v>46282.623217592591</v>
      </c>
      <c r="C718" t="s">
        <v>2</v>
      </c>
      <c r="D718" t="s">
        <v>59</v>
      </c>
      <c r="E718" t="s">
        <v>2175</v>
      </c>
      <c r="F718" t="s">
        <v>3848</v>
      </c>
      <c r="G718" t="s">
        <v>21</v>
      </c>
      <c r="H718" t="s">
        <v>2167</v>
      </c>
      <c r="I718" t="s">
        <v>2173</v>
      </c>
      <c r="J718" t="s">
        <v>2174</v>
      </c>
      <c r="K718" t="s">
        <v>53</v>
      </c>
      <c r="L718">
        <v>111</v>
      </c>
      <c r="M718">
        <v>92</v>
      </c>
      <c r="N718">
        <v>19000</v>
      </c>
      <c r="O718">
        <v>31.351417000000001</v>
      </c>
      <c r="P718">
        <v>35.686</v>
      </c>
      <c r="Q718" t="s">
        <v>2176</v>
      </c>
      <c r="S718" t="s">
        <v>2525</v>
      </c>
      <c r="U718" t="s">
        <v>3849</v>
      </c>
      <c r="V718" t="s">
        <v>43</v>
      </c>
      <c r="W718" t="s">
        <v>2177</v>
      </c>
      <c r="Y718" t="s">
        <v>30</v>
      </c>
      <c r="Z718" t="s">
        <v>30</v>
      </c>
      <c r="AA718" t="str">
        <f>IF(NOT("https://maps.app.goo.gl/n9vrfVBB9wmJDo1h9" = ""), HYPERLINK("https://maps.app.goo.gl/n9vrfVBB9wmJDo1h9", "موقع"), "")</f>
        <v>موقع</v>
      </c>
    </row>
    <row r="719" spans="1:27" x14ac:dyDescent="0.3">
      <c r="A719" t="s">
        <v>2178</v>
      </c>
      <c r="B719" s="8">
        <v>46282.623217592591</v>
      </c>
      <c r="C719" t="s">
        <v>2</v>
      </c>
      <c r="D719" t="s">
        <v>59</v>
      </c>
      <c r="E719" t="s">
        <v>2182</v>
      </c>
      <c r="F719" t="s">
        <v>3850</v>
      </c>
      <c r="G719" t="s">
        <v>21</v>
      </c>
      <c r="H719" t="s">
        <v>2167</v>
      </c>
      <c r="I719" t="s">
        <v>2179</v>
      </c>
      <c r="J719" t="s">
        <v>2180</v>
      </c>
      <c r="K719" t="s">
        <v>2181</v>
      </c>
      <c r="L719">
        <v>132</v>
      </c>
      <c r="M719">
        <v>83</v>
      </c>
      <c r="N719">
        <v>32000</v>
      </c>
      <c r="O719">
        <v>31.170500000000001</v>
      </c>
      <c r="P719">
        <v>35.734749999999998</v>
      </c>
      <c r="Q719" t="s">
        <v>136</v>
      </c>
      <c r="S719" t="s">
        <v>2525</v>
      </c>
      <c r="U719" t="s">
        <v>3851</v>
      </c>
      <c r="V719" t="s">
        <v>55</v>
      </c>
      <c r="W719" t="s">
        <v>2183</v>
      </c>
      <c r="Y719" t="s">
        <v>30</v>
      </c>
      <c r="Z719" t="s">
        <v>30</v>
      </c>
      <c r="AA719" t="str">
        <f>IF(NOT("https://maps.app.goo.gl/meVRxSaNbKiyizqX9" = ""), HYPERLINK("https://maps.app.goo.gl/meVRxSaNbKiyizqX9", "موقع"), "")</f>
        <v>موقع</v>
      </c>
    </row>
    <row r="720" spans="1:27" x14ac:dyDescent="0.3">
      <c r="A720" t="s">
        <v>2184</v>
      </c>
      <c r="B720" s="8">
        <v>46282.623217592591</v>
      </c>
      <c r="C720" t="s">
        <v>2</v>
      </c>
      <c r="D720" t="s">
        <v>59</v>
      </c>
      <c r="E720" t="s">
        <v>345</v>
      </c>
      <c r="F720" t="s">
        <v>3852</v>
      </c>
      <c r="G720" t="s">
        <v>21</v>
      </c>
      <c r="H720" t="s">
        <v>2167</v>
      </c>
      <c r="I720" t="s">
        <v>2185</v>
      </c>
      <c r="J720" t="s">
        <v>2186</v>
      </c>
      <c r="K720" t="s">
        <v>2187</v>
      </c>
      <c r="L720">
        <v>0</v>
      </c>
      <c r="M720">
        <v>615</v>
      </c>
      <c r="N720">
        <v>41000</v>
      </c>
      <c r="Q720" t="s">
        <v>2188</v>
      </c>
      <c r="S720" t="s">
        <v>2525</v>
      </c>
      <c r="V720" t="s">
        <v>43</v>
      </c>
      <c r="W720" t="s">
        <v>2189</v>
      </c>
      <c r="Y720" t="s">
        <v>30</v>
      </c>
      <c r="Z720" t="s">
        <v>30</v>
      </c>
      <c r="AA720" t="s">
        <v>30</v>
      </c>
    </row>
    <row r="721" spans="1:27" x14ac:dyDescent="0.3">
      <c r="A721" t="s">
        <v>2190</v>
      </c>
      <c r="B721" s="8">
        <v>46282.623217592591</v>
      </c>
      <c r="C721" t="s">
        <v>2</v>
      </c>
      <c r="D721" t="s">
        <v>315</v>
      </c>
      <c r="E721" t="s">
        <v>345</v>
      </c>
      <c r="F721" t="s">
        <v>3853</v>
      </c>
      <c r="G721" t="s">
        <v>296</v>
      </c>
      <c r="H721" t="s">
        <v>2167</v>
      </c>
      <c r="I721" t="s">
        <v>2185</v>
      </c>
      <c r="J721" t="s">
        <v>2191</v>
      </c>
      <c r="K721" t="s">
        <v>2192</v>
      </c>
      <c r="L721">
        <v>0</v>
      </c>
      <c r="M721">
        <v>839</v>
      </c>
      <c r="N721">
        <v>24000</v>
      </c>
      <c r="O721">
        <v>30.934472</v>
      </c>
      <c r="P721">
        <v>35.455556000000001</v>
      </c>
      <c r="Q721" t="s">
        <v>2193</v>
      </c>
      <c r="S721" t="s">
        <v>2525</v>
      </c>
      <c r="U721" t="s">
        <v>3854</v>
      </c>
      <c r="W721" t="s">
        <v>2194</v>
      </c>
      <c r="Y721" t="s">
        <v>30</v>
      </c>
      <c r="Z721" t="s">
        <v>30</v>
      </c>
      <c r="AA721" t="str">
        <f>IF(NOT("https://maps.app.goo.gl/SFgYjmhyJRSYtJH27" = ""), HYPERLINK("https://maps.app.goo.gl/SFgYjmhyJRSYtJH27", "موقع"), "")</f>
        <v>موقع</v>
      </c>
    </row>
    <row r="722" spans="1:27" x14ac:dyDescent="0.3">
      <c r="A722" t="s">
        <v>2195</v>
      </c>
      <c r="B722" s="8">
        <v>46282.623217592591</v>
      </c>
      <c r="C722" t="s">
        <v>2</v>
      </c>
      <c r="D722" t="s">
        <v>315</v>
      </c>
      <c r="E722" t="s">
        <v>345</v>
      </c>
      <c r="F722" t="s">
        <v>3855</v>
      </c>
      <c r="G722" t="s">
        <v>296</v>
      </c>
      <c r="H722" t="s">
        <v>2167</v>
      </c>
      <c r="I722" t="s">
        <v>2185</v>
      </c>
      <c r="J722" t="s">
        <v>2196</v>
      </c>
      <c r="K722" t="s">
        <v>333</v>
      </c>
      <c r="L722">
        <v>0</v>
      </c>
      <c r="M722">
        <v>22</v>
      </c>
      <c r="N722">
        <v>25000</v>
      </c>
      <c r="O722">
        <v>31.018222000000002</v>
      </c>
      <c r="P722">
        <v>35.486778000000001</v>
      </c>
      <c r="Q722" t="s">
        <v>2197</v>
      </c>
      <c r="S722" t="s">
        <v>2525</v>
      </c>
      <c r="U722" t="s">
        <v>3856</v>
      </c>
      <c r="W722" t="s">
        <v>2198</v>
      </c>
      <c r="Y722" t="s">
        <v>30</v>
      </c>
      <c r="Z722" t="s">
        <v>30</v>
      </c>
      <c r="AA722" t="str">
        <f>IF(NOT("https://maps.app.goo.gl/uebFuZCtCmPZFAFX8" = ""), HYPERLINK("https://maps.app.goo.gl/uebFuZCtCmPZFAFX8", "موقع"), "")</f>
        <v>موقع</v>
      </c>
    </row>
    <row r="723" spans="1:27" x14ac:dyDescent="0.3">
      <c r="A723" t="s">
        <v>2199</v>
      </c>
      <c r="B723" s="8">
        <v>46282.623217592591</v>
      </c>
      <c r="C723" t="s">
        <v>2</v>
      </c>
      <c r="D723" t="s">
        <v>315</v>
      </c>
      <c r="E723" t="s">
        <v>345</v>
      </c>
      <c r="F723" t="s">
        <v>3857</v>
      </c>
      <c r="G723" t="s">
        <v>296</v>
      </c>
      <c r="H723" t="s">
        <v>2167</v>
      </c>
      <c r="I723" t="s">
        <v>2179</v>
      </c>
      <c r="J723" t="s">
        <v>2200</v>
      </c>
      <c r="K723" t="s">
        <v>2201</v>
      </c>
      <c r="L723">
        <v>0</v>
      </c>
      <c r="M723">
        <v>106</v>
      </c>
      <c r="N723">
        <v>26000</v>
      </c>
      <c r="Q723" t="s">
        <v>2202</v>
      </c>
      <c r="S723" t="s">
        <v>2525</v>
      </c>
      <c r="W723" t="s">
        <v>2203</v>
      </c>
      <c r="Y723" t="s">
        <v>30</v>
      </c>
      <c r="Z723" t="s">
        <v>30</v>
      </c>
      <c r="AA723" t="s">
        <v>30</v>
      </c>
    </row>
    <row r="724" spans="1:27" x14ac:dyDescent="0.3">
      <c r="A724" t="s">
        <v>2204</v>
      </c>
      <c r="B724" s="8">
        <v>46282.623217592591</v>
      </c>
      <c r="C724" t="s">
        <v>2</v>
      </c>
      <c r="D724" t="s">
        <v>315</v>
      </c>
      <c r="E724" t="s">
        <v>2207</v>
      </c>
      <c r="F724" t="s">
        <v>3858</v>
      </c>
      <c r="G724" t="s">
        <v>296</v>
      </c>
      <c r="H724" t="s">
        <v>2167</v>
      </c>
      <c r="I724" t="s">
        <v>2179</v>
      </c>
      <c r="J724" t="s">
        <v>2205</v>
      </c>
      <c r="K724" t="s">
        <v>2206</v>
      </c>
      <c r="L724">
        <v>0</v>
      </c>
      <c r="M724">
        <v>327</v>
      </c>
      <c r="N724">
        <v>34000</v>
      </c>
      <c r="O724">
        <v>31.205249999999999</v>
      </c>
      <c r="P724">
        <v>35.757556000000001</v>
      </c>
      <c r="Q724" t="s">
        <v>2208</v>
      </c>
      <c r="S724" t="s">
        <v>2525</v>
      </c>
      <c r="U724" t="s">
        <v>3859</v>
      </c>
      <c r="W724" t="s">
        <v>2209</v>
      </c>
      <c r="Y724" t="s">
        <v>30</v>
      </c>
      <c r="Z724" t="s">
        <v>30</v>
      </c>
      <c r="AA724" t="str">
        <f>IF(NOT("https://maps.app.goo.gl/XmxnDKcjLE7m7iCQ6" = ""), HYPERLINK("https://maps.app.goo.gl/XmxnDKcjLE7m7iCQ6", "موقع"), "")</f>
        <v>موقع</v>
      </c>
    </row>
    <row r="725" spans="1:27" x14ac:dyDescent="0.3">
      <c r="A725" t="s">
        <v>2210</v>
      </c>
      <c r="B725" s="8">
        <v>46282.623217592591</v>
      </c>
      <c r="C725" t="s">
        <v>2</v>
      </c>
      <c r="D725" t="s">
        <v>315</v>
      </c>
      <c r="E725" t="s">
        <v>345</v>
      </c>
      <c r="F725" t="s">
        <v>3860</v>
      </c>
      <c r="G725" t="s">
        <v>296</v>
      </c>
      <c r="H725" t="s">
        <v>2167</v>
      </c>
      <c r="I725" t="s">
        <v>2185</v>
      </c>
      <c r="J725" t="s">
        <v>2186</v>
      </c>
      <c r="K725" t="s">
        <v>2211</v>
      </c>
      <c r="L725">
        <v>0</v>
      </c>
      <c r="M725">
        <v>537</v>
      </c>
      <c r="N725">
        <v>36000</v>
      </c>
      <c r="O725">
        <v>31.034389000000001</v>
      </c>
      <c r="P725">
        <v>35.478999999999999</v>
      </c>
      <c r="Q725" t="s">
        <v>2212</v>
      </c>
      <c r="S725" t="s">
        <v>2525</v>
      </c>
      <c r="U725" t="s">
        <v>3861</v>
      </c>
      <c r="W725" t="s">
        <v>2213</v>
      </c>
      <c r="Y725" t="s">
        <v>30</v>
      </c>
      <c r="Z725" t="s">
        <v>30</v>
      </c>
      <c r="AA725" t="str">
        <f>IF(NOT("https://maps.app.goo.gl/emcmKEAFCX1w11qE8" = ""), HYPERLINK("https://maps.app.goo.gl/emcmKEAFCX1w11qE8", "موقع"), "")</f>
        <v>موقع</v>
      </c>
    </row>
    <row r="726" spans="1:27" x14ac:dyDescent="0.3">
      <c r="A726" t="s">
        <v>2214</v>
      </c>
      <c r="B726" s="8">
        <v>46282.623217592591</v>
      </c>
      <c r="C726" t="s">
        <v>2</v>
      </c>
      <c r="D726" t="s">
        <v>315</v>
      </c>
      <c r="E726" t="s">
        <v>2170</v>
      </c>
      <c r="F726" t="s">
        <v>3862</v>
      </c>
      <c r="G726" t="s">
        <v>296</v>
      </c>
      <c r="H726" t="s">
        <v>2167</v>
      </c>
      <c r="I726" t="s">
        <v>2185</v>
      </c>
      <c r="J726" t="s">
        <v>2186</v>
      </c>
      <c r="K726" t="s">
        <v>2211</v>
      </c>
      <c r="L726">
        <v>0</v>
      </c>
      <c r="M726">
        <v>618</v>
      </c>
      <c r="N726">
        <v>41000</v>
      </c>
      <c r="Q726" t="s">
        <v>612</v>
      </c>
      <c r="S726" t="s">
        <v>2525</v>
      </c>
      <c r="W726" t="s">
        <v>2215</v>
      </c>
      <c r="Y726" t="s">
        <v>30</v>
      </c>
      <c r="Z726" t="s">
        <v>30</v>
      </c>
      <c r="AA726" t="s">
        <v>30</v>
      </c>
    </row>
    <row r="727" spans="1:27" x14ac:dyDescent="0.3">
      <c r="A727" t="s">
        <v>2216</v>
      </c>
      <c r="B727" s="8">
        <v>46282.623217592591</v>
      </c>
      <c r="C727" t="s">
        <v>2</v>
      </c>
      <c r="D727" t="s">
        <v>315</v>
      </c>
      <c r="E727" t="s">
        <v>2219</v>
      </c>
      <c r="F727" t="s">
        <v>3863</v>
      </c>
      <c r="G727" t="s">
        <v>296</v>
      </c>
      <c r="H727" t="s">
        <v>2167</v>
      </c>
      <c r="I727" t="s">
        <v>2179</v>
      </c>
      <c r="J727" t="s">
        <v>2217</v>
      </c>
      <c r="K727" t="s">
        <v>2218</v>
      </c>
      <c r="L727">
        <v>0</v>
      </c>
      <c r="M727">
        <v>117</v>
      </c>
      <c r="N727">
        <v>61000</v>
      </c>
      <c r="O727">
        <v>31.137277999999998</v>
      </c>
      <c r="P727">
        <v>35.719056000000002</v>
      </c>
      <c r="Q727" t="s">
        <v>875</v>
      </c>
      <c r="S727" t="s">
        <v>2525</v>
      </c>
      <c r="U727" t="s">
        <v>3864</v>
      </c>
      <c r="W727" t="s">
        <v>2220</v>
      </c>
      <c r="Y727" t="s">
        <v>30</v>
      </c>
      <c r="Z727" t="s">
        <v>30</v>
      </c>
      <c r="AA727" t="str">
        <f>IF(NOT("https://maps.app.goo.gl/pTtVtcYQptRE2XRWA" = ""), HYPERLINK("https://maps.app.goo.gl/pTtVtcYQptRE2XRWA", "موقع"), "")</f>
        <v>موقع</v>
      </c>
    </row>
    <row r="728" spans="1:27" x14ac:dyDescent="0.3">
      <c r="A728" t="s">
        <v>2221</v>
      </c>
      <c r="B728" s="8">
        <v>46282.623217592591</v>
      </c>
      <c r="C728" t="s">
        <v>2</v>
      </c>
      <c r="D728" t="s">
        <v>315</v>
      </c>
      <c r="E728" t="s">
        <v>2224</v>
      </c>
      <c r="F728" t="s">
        <v>3865</v>
      </c>
      <c r="G728" t="s">
        <v>296</v>
      </c>
      <c r="H728" t="s">
        <v>2167</v>
      </c>
      <c r="I728" t="s">
        <v>2168</v>
      </c>
      <c r="J728" t="s">
        <v>2222</v>
      </c>
      <c r="K728" t="s">
        <v>2223</v>
      </c>
      <c r="L728">
        <v>0</v>
      </c>
      <c r="M728">
        <v>631</v>
      </c>
      <c r="N728">
        <v>63000</v>
      </c>
      <c r="O728">
        <v>31.103750000000002</v>
      </c>
      <c r="P728">
        <v>35.692444000000002</v>
      </c>
      <c r="Q728" t="s">
        <v>2225</v>
      </c>
      <c r="S728" t="s">
        <v>2525</v>
      </c>
      <c r="U728" t="s">
        <v>3866</v>
      </c>
      <c r="W728" t="s">
        <v>2226</v>
      </c>
      <c r="Y728" t="s">
        <v>30</v>
      </c>
      <c r="Z728" t="s">
        <v>30</v>
      </c>
      <c r="AA728" t="str">
        <f>IF(NOT("https://maps.app.goo.gl/tE56ws3842kuVrpd9" = ""), HYPERLINK("https://maps.app.goo.gl/tE56ws3842kuVrpd9", "موقع"), "")</f>
        <v>موقع</v>
      </c>
    </row>
    <row r="729" spans="1:27" x14ac:dyDescent="0.3">
      <c r="A729" t="s">
        <v>2227</v>
      </c>
      <c r="B729" s="8">
        <v>46282.623217592591</v>
      </c>
      <c r="C729" t="s">
        <v>2</v>
      </c>
      <c r="D729" t="s">
        <v>315</v>
      </c>
      <c r="E729" t="s">
        <v>2230</v>
      </c>
      <c r="F729" t="s">
        <v>3867</v>
      </c>
      <c r="G729" t="s">
        <v>296</v>
      </c>
      <c r="H729" t="s">
        <v>2167</v>
      </c>
      <c r="I729" t="s">
        <v>2179</v>
      </c>
      <c r="J729" t="s">
        <v>2228</v>
      </c>
      <c r="K729" t="s">
        <v>2229</v>
      </c>
      <c r="L729">
        <v>0</v>
      </c>
      <c r="M729">
        <v>61</v>
      </c>
      <c r="N729">
        <v>141000</v>
      </c>
      <c r="O729">
        <v>31.182389000000001</v>
      </c>
      <c r="P729">
        <v>35.71275</v>
      </c>
      <c r="Q729" t="s">
        <v>2231</v>
      </c>
      <c r="S729" t="s">
        <v>2525</v>
      </c>
      <c r="U729" t="s">
        <v>3868</v>
      </c>
      <c r="W729" t="s">
        <v>2232</v>
      </c>
      <c r="Y729" t="s">
        <v>30</v>
      </c>
      <c r="Z729" t="s">
        <v>30</v>
      </c>
      <c r="AA729" t="str">
        <f>IF(NOT("https://maps.app.goo.gl/1o3zMBuKWctgbPRN6" = ""), HYPERLINK("https://maps.app.goo.gl/1o3zMBuKWctgbPRN6", "موقع"), "")</f>
        <v>موقع</v>
      </c>
    </row>
    <row r="730" spans="1:27" x14ac:dyDescent="0.3">
      <c r="A730" t="s">
        <v>2233</v>
      </c>
      <c r="B730" s="8">
        <v>46282.623217592591</v>
      </c>
      <c r="C730" t="s">
        <v>2</v>
      </c>
      <c r="D730" t="s">
        <v>315</v>
      </c>
      <c r="E730" t="s">
        <v>2175</v>
      </c>
      <c r="F730" t="s">
        <v>3869</v>
      </c>
      <c r="G730" t="s">
        <v>296</v>
      </c>
      <c r="H730" t="s">
        <v>2167</v>
      </c>
      <c r="I730" t="s">
        <v>2179</v>
      </c>
      <c r="J730" t="s">
        <v>2234</v>
      </c>
      <c r="K730" t="s">
        <v>2235</v>
      </c>
      <c r="L730">
        <v>0</v>
      </c>
      <c r="M730">
        <v>539</v>
      </c>
      <c r="Q730" t="s">
        <v>2236</v>
      </c>
      <c r="S730" t="s">
        <v>2525</v>
      </c>
      <c r="Y730" t="s">
        <v>30</v>
      </c>
      <c r="Z730" t="s">
        <v>30</v>
      </c>
      <c r="AA730" t="s">
        <v>30</v>
      </c>
    </row>
    <row r="731" spans="1:27" x14ac:dyDescent="0.3">
      <c r="A731" t="s">
        <v>2237</v>
      </c>
      <c r="B731" s="8">
        <v>46282.623217592591</v>
      </c>
      <c r="C731" t="s">
        <v>2</v>
      </c>
      <c r="D731" t="s">
        <v>469</v>
      </c>
      <c r="E731" t="s">
        <v>2170</v>
      </c>
      <c r="F731" t="s">
        <v>3870</v>
      </c>
      <c r="G731" t="s">
        <v>468</v>
      </c>
      <c r="H731" t="s">
        <v>2167</v>
      </c>
      <c r="I731" t="s">
        <v>2168</v>
      </c>
      <c r="J731" t="s">
        <v>2238</v>
      </c>
      <c r="K731" t="s">
        <v>2239</v>
      </c>
      <c r="L731">
        <v>0</v>
      </c>
      <c r="M731">
        <v>181</v>
      </c>
      <c r="N731">
        <v>15000</v>
      </c>
      <c r="O731">
        <v>31.048500000000001</v>
      </c>
      <c r="P731">
        <v>35.609305999999997</v>
      </c>
      <c r="Q731" t="s">
        <v>2240</v>
      </c>
      <c r="S731" t="s">
        <v>2525</v>
      </c>
      <c r="T731" t="s">
        <v>3871</v>
      </c>
      <c r="U731" t="s">
        <v>3872</v>
      </c>
      <c r="W731" t="s">
        <v>2241</v>
      </c>
      <c r="Y731" t="s">
        <v>30</v>
      </c>
      <c r="Z731" t="s">
        <v>30</v>
      </c>
      <c r="AA731" t="str">
        <f>IF(NOT("https://maps.app.goo.gl/vgSJRETDMvEV6DU9A" = ""), HYPERLINK("https://maps.app.goo.gl/vgSJRETDMvEV6DU9A", "موقع"), "")</f>
        <v>موقع</v>
      </c>
    </row>
    <row r="732" spans="1:27" x14ac:dyDescent="0.3">
      <c r="A732" t="s">
        <v>2242</v>
      </c>
      <c r="B732" s="8">
        <v>46282.623217592591</v>
      </c>
      <c r="C732" t="s">
        <v>2</v>
      </c>
      <c r="D732" t="s">
        <v>469</v>
      </c>
      <c r="E732" t="s">
        <v>345</v>
      </c>
      <c r="F732" t="s">
        <v>3873</v>
      </c>
      <c r="G732" t="s">
        <v>468</v>
      </c>
      <c r="H732" t="s">
        <v>2167</v>
      </c>
      <c r="I732" t="s">
        <v>2168</v>
      </c>
      <c r="J732" t="s">
        <v>2243</v>
      </c>
      <c r="K732" t="s">
        <v>2244</v>
      </c>
      <c r="L732">
        <v>0</v>
      </c>
      <c r="M732">
        <v>20</v>
      </c>
      <c r="N732">
        <v>17000</v>
      </c>
      <c r="Q732" t="s">
        <v>2245</v>
      </c>
      <c r="S732" t="s">
        <v>2525</v>
      </c>
      <c r="W732" t="s">
        <v>2246</v>
      </c>
      <c r="Y732" t="s">
        <v>30</v>
      </c>
      <c r="Z732" t="s">
        <v>30</v>
      </c>
      <c r="AA732" t="s">
        <v>30</v>
      </c>
    </row>
    <row r="733" spans="1:27" x14ac:dyDescent="0.3">
      <c r="A733" t="s">
        <v>2247</v>
      </c>
      <c r="B733" s="8">
        <v>46282.623217592591</v>
      </c>
      <c r="C733" t="s">
        <v>2</v>
      </c>
      <c r="D733" t="s">
        <v>469</v>
      </c>
      <c r="F733" t="s">
        <v>3874</v>
      </c>
      <c r="G733" t="s">
        <v>468</v>
      </c>
      <c r="H733" t="s">
        <v>2167</v>
      </c>
      <c r="I733" t="s">
        <v>2179</v>
      </c>
      <c r="J733" t="s">
        <v>2248</v>
      </c>
      <c r="K733" t="s">
        <v>2249</v>
      </c>
      <c r="M733">
        <v>290</v>
      </c>
      <c r="Q733" t="s">
        <v>2250</v>
      </c>
      <c r="S733" t="s">
        <v>2525</v>
      </c>
      <c r="Y733" t="s">
        <v>30</v>
      </c>
      <c r="Z733" t="s">
        <v>30</v>
      </c>
      <c r="AA733" t="s">
        <v>30</v>
      </c>
    </row>
    <row r="734" spans="1:27" x14ac:dyDescent="0.3">
      <c r="A734" t="s">
        <v>2251</v>
      </c>
      <c r="B734" s="8">
        <v>46282.623217592591</v>
      </c>
      <c r="C734" t="s">
        <v>2</v>
      </c>
      <c r="D734" t="s">
        <v>469</v>
      </c>
      <c r="F734" t="s">
        <v>3694</v>
      </c>
      <c r="G734" t="s">
        <v>468</v>
      </c>
      <c r="H734" t="s">
        <v>2167</v>
      </c>
      <c r="I734" t="s">
        <v>2179</v>
      </c>
      <c r="J734" t="s">
        <v>2248</v>
      </c>
      <c r="K734" t="s">
        <v>2249</v>
      </c>
      <c r="L734">
        <v>0</v>
      </c>
      <c r="M734">
        <v>270</v>
      </c>
      <c r="Q734" t="s">
        <v>2252</v>
      </c>
      <c r="S734" t="s">
        <v>2525</v>
      </c>
      <c r="Y734" t="s">
        <v>30</v>
      </c>
      <c r="Z734" t="s">
        <v>30</v>
      </c>
      <c r="AA734" t="s">
        <v>30</v>
      </c>
    </row>
    <row r="735" spans="1:27" x14ac:dyDescent="0.3">
      <c r="A735" t="s">
        <v>2253</v>
      </c>
      <c r="B735" s="8">
        <v>46282.623217592591</v>
      </c>
      <c r="C735" t="s">
        <v>2</v>
      </c>
      <c r="D735" t="s">
        <v>522</v>
      </c>
      <c r="E735" t="s">
        <v>2170</v>
      </c>
      <c r="F735" t="s">
        <v>3875</v>
      </c>
      <c r="G735" t="s">
        <v>296</v>
      </c>
      <c r="H735" t="s">
        <v>2167</v>
      </c>
      <c r="I735" t="s">
        <v>2168</v>
      </c>
      <c r="J735" t="s">
        <v>2254</v>
      </c>
      <c r="K735" t="s">
        <v>333</v>
      </c>
      <c r="L735">
        <v>0</v>
      </c>
      <c r="M735">
        <v>120</v>
      </c>
      <c r="N735">
        <v>19000</v>
      </c>
      <c r="Q735" t="s">
        <v>355</v>
      </c>
      <c r="S735" t="s">
        <v>2525</v>
      </c>
      <c r="W735" t="s">
        <v>2255</v>
      </c>
      <c r="Y735" t="s">
        <v>30</v>
      </c>
      <c r="Z735" t="s">
        <v>30</v>
      </c>
      <c r="AA735" t="s">
        <v>30</v>
      </c>
    </row>
    <row r="736" spans="1:27" x14ac:dyDescent="0.3">
      <c r="A736" t="s">
        <v>2256</v>
      </c>
      <c r="B736" s="8">
        <v>46282.623217592591</v>
      </c>
      <c r="C736" t="s">
        <v>2</v>
      </c>
      <c r="D736" t="s">
        <v>522</v>
      </c>
      <c r="E736" t="s">
        <v>345</v>
      </c>
      <c r="F736" t="s">
        <v>3876</v>
      </c>
      <c r="G736" t="s">
        <v>296</v>
      </c>
      <c r="H736" t="s">
        <v>2167</v>
      </c>
      <c r="I736" t="s">
        <v>2185</v>
      </c>
      <c r="J736" t="s">
        <v>2257</v>
      </c>
      <c r="K736" t="s">
        <v>333</v>
      </c>
      <c r="L736">
        <v>0</v>
      </c>
      <c r="M736">
        <v>295</v>
      </c>
      <c r="N736">
        <v>20000</v>
      </c>
      <c r="O736">
        <v>31.288556</v>
      </c>
      <c r="P736">
        <v>35.540971999999996</v>
      </c>
      <c r="Q736" t="s">
        <v>2258</v>
      </c>
      <c r="S736" t="s">
        <v>2525</v>
      </c>
      <c r="U736" t="s">
        <v>3877</v>
      </c>
      <c r="W736" t="s">
        <v>2259</v>
      </c>
      <c r="Y736" t="s">
        <v>30</v>
      </c>
      <c r="Z736" t="s">
        <v>30</v>
      </c>
      <c r="AA736" t="str">
        <f>IF(NOT("https://maps.app.goo.gl/qYZVzkQWQxvbkaDu6" = ""), HYPERLINK("https://maps.app.goo.gl/qYZVzkQWQxvbkaDu6", "موقع"), "")</f>
        <v>موقع</v>
      </c>
    </row>
    <row r="737" spans="1:27" x14ac:dyDescent="0.3">
      <c r="A737" t="s">
        <v>2260</v>
      </c>
      <c r="B737" s="8">
        <v>46282.623217592591</v>
      </c>
      <c r="C737" t="s">
        <v>2</v>
      </c>
      <c r="D737" t="s">
        <v>522</v>
      </c>
      <c r="E737" t="s">
        <v>345</v>
      </c>
      <c r="F737" t="s">
        <v>3878</v>
      </c>
      <c r="G737" t="s">
        <v>296</v>
      </c>
      <c r="H737" t="s">
        <v>2167</v>
      </c>
      <c r="I737" t="s">
        <v>2185</v>
      </c>
      <c r="J737" t="s">
        <v>2261</v>
      </c>
      <c r="K737" t="s">
        <v>2262</v>
      </c>
      <c r="L737">
        <v>0</v>
      </c>
      <c r="M737">
        <v>381</v>
      </c>
      <c r="N737">
        <v>20000</v>
      </c>
      <c r="O737">
        <v>31.269777999999999</v>
      </c>
      <c r="P737">
        <v>35.532639000000003</v>
      </c>
      <c r="Q737" t="s">
        <v>2263</v>
      </c>
      <c r="S737" t="s">
        <v>2525</v>
      </c>
      <c r="U737" t="s">
        <v>3879</v>
      </c>
      <c r="W737" t="s">
        <v>2264</v>
      </c>
      <c r="Y737" t="s">
        <v>30</v>
      </c>
      <c r="Z737" t="s">
        <v>30</v>
      </c>
      <c r="AA737" t="str">
        <f>IF(NOT("https://maps.app.goo.gl/DSq21ccX4bDdsCMf9" = ""), HYPERLINK("https://maps.app.goo.gl/DSq21ccX4bDdsCMf9", "موقع"), "")</f>
        <v>موقع</v>
      </c>
    </row>
    <row r="738" spans="1:27" x14ac:dyDescent="0.3">
      <c r="A738" t="s">
        <v>2265</v>
      </c>
      <c r="B738" s="8">
        <v>46282.623217592591</v>
      </c>
      <c r="C738" t="s">
        <v>2</v>
      </c>
      <c r="D738" t="s">
        <v>522</v>
      </c>
      <c r="E738" t="s">
        <v>2170</v>
      </c>
      <c r="F738" t="s">
        <v>3880</v>
      </c>
      <c r="G738" t="s">
        <v>296</v>
      </c>
      <c r="H738" t="s">
        <v>2167</v>
      </c>
      <c r="I738" t="s">
        <v>2168</v>
      </c>
      <c r="J738" t="s">
        <v>2266</v>
      </c>
      <c r="K738" t="s">
        <v>84</v>
      </c>
      <c r="L738">
        <v>0</v>
      </c>
      <c r="M738">
        <v>38</v>
      </c>
      <c r="N738">
        <v>24000</v>
      </c>
      <c r="O738">
        <v>31.036805999999999</v>
      </c>
      <c r="P738">
        <v>35.722360999999999</v>
      </c>
      <c r="Q738" t="s">
        <v>2267</v>
      </c>
      <c r="S738" t="s">
        <v>2525</v>
      </c>
      <c r="U738" t="s">
        <v>3881</v>
      </c>
      <c r="W738" t="s">
        <v>2268</v>
      </c>
      <c r="Y738" t="s">
        <v>30</v>
      </c>
      <c r="Z738" t="s">
        <v>30</v>
      </c>
      <c r="AA738" t="str">
        <f>IF(NOT("https://maps.app.goo.gl/z5ujayfc7Y7kQ9Jd9" = ""), HYPERLINK("https://maps.app.goo.gl/z5ujayfc7Y7kQ9Jd9", "موقع"), "")</f>
        <v>موقع</v>
      </c>
    </row>
    <row r="739" spans="1:27" x14ac:dyDescent="0.3">
      <c r="A739" t="s">
        <v>2269</v>
      </c>
      <c r="B739" s="8">
        <v>46282.623217592591</v>
      </c>
      <c r="C739" t="s">
        <v>2</v>
      </c>
      <c r="D739" t="s">
        <v>522</v>
      </c>
      <c r="E739" t="s">
        <v>345</v>
      </c>
      <c r="F739" t="s">
        <v>3882</v>
      </c>
      <c r="G739" t="s">
        <v>296</v>
      </c>
      <c r="H739" t="s">
        <v>2167</v>
      </c>
      <c r="I739" t="s">
        <v>2179</v>
      </c>
      <c r="J739" t="s">
        <v>2270</v>
      </c>
      <c r="K739" t="s">
        <v>333</v>
      </c>
      <c r="L739">
        <v>0</v>
      </c>
      <c r="M739">
        <v>732</v>
      </c>
      <c r="O739">
        <v>31.087028</v>
      </c>
      <c r="P739">
        <v>35.997083000000003</v>
      </c>
      <c r="Q739" t="s">
        <v>2271</v>
      </c>
      <c r="S739" t="s">
        <v>2525</v>
      </c>
      <c r="U739" t="s">
        <v>3883</v>
      </c>
      <c r="Y739" t="s">
        <v>30</v>
      </c>
      <c r="Z739" t="s">
        <v>30</v>
      </c>
      <c r="AA739" t="str">
        <f>IF(NOT("https://maps.app.goo.gl/3272Qm8kdYncgKfx6" = ""), HYPERLINK("https://maps.app.goo.gl/3272Qm8kdYncgKfx6", "موقع"), "")</f>
        <v>موقع</v>
      </c>
    </row>
    <row r="740" spans="1:27" x14ac:dyDescent="0.3">
      <c r="A740" t="s">
        <v>2272</v>
      </c>
      <c r="B740" s="8">
        <v>46282.623217592591</v>
      </c>
      <c r="C740" t="s">
        <v>2</v>
      </c>
      <c r="D740" t="s">
        <v>297</v>
      </c>
      <c r="E740" t="s">
        <v>2277</v>
      </c>
      <c r="F740" t="s">
        <v>3884</v>
      </c>
      <c r="G740" t="s">
        <v>296</v>
      </c>
      <c r="H740" t="s">
        <v>2273</v>
      </c>
      <c r="I740" t="s">
        <v>2274</v>
      </c>
      <c r="J740" t="s">
        <v>2275</v>
      </c>
      <c r="K740" t="s">
        <v>2276</v>
      </c>
      <c r="L740">
        <v>0</v>
      </c>
      <c r="M740">
        <v>201</v>
      </c>
      <c r="N740">
        <v>397000</v>
      </c>
      <c r="O740">
        <v>32.341056000000002</v>
      </c>
      <c r="P740">
        <v>36.205972000000003</v>
      </c>
      <c r="Q740" t="s">
        <v>2278</v>
      </c>
      <c r="S740" t="s">
        <v>2525</v>
      </c>
      <c r="U740" t="s">
        <v>3885</v>
      </c>
      <c r="W740" t="s">
        <v>2279</v>
      </c>
      <c r="Y740" t="s">
        <v>30</v>
      </c>
      <c r="Z740" t="s">
        <v>30</v>
      </c>
      <c r="AA740" t="str">
        <f>IF(NOT("https://maps.app.goo.gl/HpwzmeKxKUEVLoYZ7" = ""), HYPERLINK("https://maps.app.goo.gl/HpwzmeKxKUEVLoYZ7", "موقع"), "")</f>
        <v>موقع</v>
      </c>
    </row>
    <row r="741" spans="1:27" x14ac:dyDescent="0.3">
      <c r="A741" t="s">
        <v>2280</v>
      </c>
      <c r="B741" s="8">
        <v>46282.623217592591</v>
      </c>
      <c r="C741" t="s">
        <v>2</v>
      </c>
      <c r="D741" t="s">
        <v>315</v>
      </c>
      <c r="E741" t="s">
        <v>2283</v>
      </c>
      <c r="F741" t="s">
        <v>3886</v>
      </c>
      <c r="G741" t="s">
        <v>296</v>
      </c>
      <c r="H741" t="s">
        <v>2273</v>
      </c>
      <c r="I741" t="s">
        <v>2274</v>
      </c>
      <c r="J741" t="s">
        <v>2281</v>
      </c>
      <c r="K741" t="s">
        <v>2282</v>
      </c>
      <c r="L741">
        <v>0</v>
      </c>
      <c r="M741">
        <v>48</v>
      </c>
      <c r="N741">
        <v>17000</v>
      </c>
      <c r="O741">
        <v>32.328221999999997</v>
      </c>
      <c r="P741">
        <v>36.047417000000003</v>
      </c>
      <c r="Q741" t="s">
        <v>2284</v>
      </c>
      <c r="S741" t="s">
        <v>2525</v>
      </c>
      <c r="U741" t="s">
        <v>3887</v>
      </c>
      <c r="W741" t="s">
        <v>2285</v>
      </c>
      <c r="Y741" t="s">
        <v>30</v>
      </c>
      <c r="Z741" t="s">
        <v>30</v>
      </c>
      <c r="AA741" t="str">
        <f>IF(NOT("https://maps.app.goo.gl/zRJofH6h7xfat9uX6" = ""), HYPERLINK("https://maps.app.goo.gl/zRJofH6h7xfat9uX6", "موقع"), "")</f>
        <v>موقع</v>
      </c>
    </row>
    <row r="742" spans="1:27" x14ac:dyDescent="0.3">
      <c r="A742" t="s">
        <v>2286</v>
      </c>
      <c r="B742" s="8">
        <v>46282.623217592591</v>
      </c>
      <c r="C742" t="s">
        <v>2</v>
      </c>
      <c r="D742" t="s">
        <v>315</v>
      </c>
      <c r="E742" t="s">
        <v>2290</v>
      </c>
      <c r="F742" t="s">
        <v>3888</v>
      </c>
      <c r="G742" t="s">
        <v>296</v>
      </c>
      <c r="H742" t="s">
        <v>2273</v>
      </c>
      <c r="I742" t="s">
        <v>2287</v>
      </c>
      <c r="J742" t="s">
        <v>2288</v>
      </c>
      <c r="K742" t="s">
        <v>2289</v>
      </c>
      <c r="L742">
        <v>0</v>
      </c>
      <c r="M742">
        <v>732</v>
      </c>
      <c r="N742">
        <v>18000</v>
      </c>
      <c r="O742">
        <v>32.332472000000003</v>
      </c>
      <c r="P742">
        <v>36.369083000000003</v>
      </c>
      <c r="Q742" t="s">
        <v>2291</v>
      </c>
      <c r="S742" t="s">
        <v>2525</v>
      </c>
      <c r="U742" t="s">
        <v>3889</v>
      </c>
      <c r="W742" t="s">
        <v>2292</v>
      </c>
      <c r="Y742" t="s">
        <v>30</v>
      </c>
      <c r="Z742" t="s">
        <v>30</v>
      </c>
      <c r="AA742" t="str">
        <f>IF(NOT("https://maps.app.goo.gl/rFUTyaqvDHACyK45A" = ""), HYPERLINK("https://maps.app.goo.gl/rFUTyaqvDHACyK45A", "موقع"), "")</f>
        <v>موقع</v>
      </c>
    </row>
    <row r="743" spans="1:27" x14ac:dyDescent="0.3">
      <c r="A743" t="s">
        <v>2293</v>
      </c>
      <c r="B743" s="8">
        <v>46282.623217592591</v>
      </c>
      <c r="C743" t="s">
        <v>2</v>
      </c>
      <c r="D743" t="s">
        <v>315</v>
      </c>
      <c r="E743" t="s">
        <v>2296</v>
      </c>
      <c r="F743" t="s">
        <v>3890</v>
      </c>
      <c r="G743" t="s">
        <v>296</v>
      </c>
      <c r="H743" t="s">
        <v>2273</v>
      </c>
      <c r="I743" t="s">
        <v>2274</v>
      </c>
      <c r="J743" t="s">
        <v>2294</v>
      </c>
      <c r="K743" t="s">
        <v>2295</v>
      </c>
      <c r="L743">
        <v>0</v>
      </c>
      <c r="M743">
        <v>715</v>
      </c>
      <c r="N743">
        <v>25000</v>
      </c>
      <c r="O743">
        <v>32.441139</v>
      </c>
      <c r="P743">
        <v>36.149943999999998</v>
      </c>
      <c r="Q743" t="s">
        <v>2297</v>
      </c>
      <c r="S743" t="s">
        <v>2525</v>
      </c>
      <c r="U743" t="s">
        <v>3891</v>
      </c>
      <c r="W743" t="s">
        <v>2298</v>
      </c>
      <c r="Y743" t="s">
        <v>30</v>
      </c>
      <c r="Z743" t="s">
        <v>30</v>
      </c>
      <c r="AA743" t="str">
        <f>IF(NOT("https://maps.app.goo.gl/UpXAnNYzm3PvHZLJ6" = ""), HYPERLINK("https://maps.app.goo.gl/UpXAnNYzm3PvHZLJ6", "موقع"), "")</f>
        <v>موقع</v>
      </c>
    </row>
    <row r="744" spans="1:27" x14ac:dyDescent="0.3">
      <c r="A744" t="s">
        <v>2299</v>
      </c>
      <c r="B744" s="8">
        <v>46282.623217592591</v>
      </c>
      <c r="C744" t="s">
        <v>2</v>
      </c>
      <c r="D744" t="s">
        <v>315</v>
      </c>
      <c r="E744" t="s">
        <v>2302</v>
      </c>
      <c r="F744" t="s">
        <v>3892</v>
      </c>
      <c r="G744" t="s">
        <v>296</v>
      </c>
      <c r="H744" t="s">
        <v>2273</v>
      </c>
      <c r="I744" t="s">
        <v>2274</v>
      </c>
      <c r="J744" t="s">
        <v>2300</v>
      </c>
      <c r="K744" t="s">
        <v>2301</v>
      </c>
      <c r="L744">
        <v>0</v>
      </c>
      <c r="M744">
        <v>490</v>
      </c>
      <c r="N744">
        <v>33000</v>
      </c>
      <c r="O744">
        <v>32.140110999999997</v>
      </c>
      <c r="P744">
        <v>36.279083</v>
      </c>
      <c r="Q744" t="s">
        <v>2303</v>
      </c>
      <c r="S744" t="s">
        <v>2525</v>
      </c>
      <c r="U744" t="s">
        <v>3893</v>
      </c>
      <c r="W744" t="s">
        <v>2304</v>
      </c>
      <c r="Y744" t="s">
        <v>30</v>
      </c>
      <c r="Z744" t="s">
        <v>30</v>
      </c>
      <c r="AA744" t="str">
        <f>IF(NOT("https://maps.app.goo.gl/dN865BrbXKDGjGUB7" = ""), HYPERLINK("https://maps.app.goo.gl/dN865BrbXKDGjGUB7", "موقع"), "")</f>
        <v>موقع</v>
      </c>
    </row>
    <row r="745" spans="1:27" x14ac:dyDescent="0.3">
      <c r="A745" t="s">
        <v>2305</v>
      </c>
      <c r="B745" s="8">
        <v>46282.623217592591</v>
      </c>
      <c r="C745" t="s">
        <v>2</v>
      </c>
      <c r="D745" t="s">
        <v>315</v>
      </c>
      <c r="E745" t="s">
        <v>345</v>
      </c>
      <c r="F745" t="s">
        <v>3894</v>
      </c>
      <c r="G745" t="s">
        <v>296</v>
      </c>
      <c r="H745" t="s">
        <v>2273</v>
      </c>
      <c r="I745" t="s">
        <v>2274</v>
      </c>
      <c r="J745" t="s">
        <v>2275</v>
      </c>
      <c r="K745" t="s">
        <v>2306</v>
      </c>
      <c r="L745">
        <v>0</v>
      </c>
      <c r="M745">
        <v>700</v>
      </c>
      <c r="N745">
        <v>43000</v>
      </c>
      <c r="O745">
        <v>32.351306000000001</v>
      </c>
      <c r="P745">
        <v>36.206583000000002</v>
      </c>
      <c r="Q745" t="s">
        <v>2307</v>
      </c>
      <c r="S745" t="s">
        <v>2525</v>
      </c>
      <c r="U745" t="s">
        <v>3895</v>
      </c>
      <c r="W745" t="s">
        <v>2308</v>
      </c>
      <c r="Y745" t="s">
        <v>30</v>
      </c>
      <c r="Z745" t="s">
        <v>30</v>
      </c>
      <c r="AA745" t="str">
        <f>IF(NOT("https://maps.app.goo.gl/AfnSgEKkf22T5P819" = ""), HYPERLINK("https://maps.app.goo.gl/AfnSgEKkf22T5P819", "موقع"), "")</f>
        <v>موقع</v>
      </c>
    </row>
    <row r="746" spans="1:27" x14ac:dyDescent="0.3">
      <c r="A746" t="s">
        <v>2309</v>
      </c>
      <c r="B746" s="8">
        <v>46282.623217592591</v>
      </c>
      <c r="C746" t="s">
        <v>2</v>
      </c>
      <c r="D746" t="s">
        <v>315</v>
      </c>
      <c r="E746" t="s">
        <v>2312</v>
      </c>
      <c r="F746" t="s">
        <v>3896</v>
      </c>
      <c r="G746" t="s">
        <v>296</v>
      </c>
      <c r="H746" t="s">
        <v>2273</v>
      </c>
      <c r="I746" t="s">
        <v>2274</v>
      </c>
      <c r="J746" t="s">
        <v>2310</v>
      </c>
      <c r="K746" t="s">
        <v>2311</v>
      </c>
      <c r="L746">
        <v>0</v>
      </c>
      <c r="M746">
        <v>735</v>
      </c>
      <c r="N746">
        <v>60000</v>
      </c>
      <c r="Q746" t="s">
        <v>2313</v>
      </c>
      <c r="S746" t="s">
        <v>2525</v>
      </c>
      <c r="W746" t="s">
        <v>2314</v>
      </c>
      <c r="Y746" t="s">
        <v>30</v>
      </c>
      <c r="Z746" t="s">
        <v>30</v>
      </c>
      <c r="AA746" t="s">
        <v>30</v>
      </c>
    </row>
    <row r="747" spans="1:27" x14ac:dyDescent="0.3">
      <c r="A747" t="s">
        <v>2315</v>
      </c>
      <c r="B747" s="8">
        <v>46282.623217592591</v>
      </c>
      <c r="C747" t="s">
        <v>2</v>
      </c>
      <c r="D747" t="s">
        <v>315</v>
      </c>
      <c r="E747" t="s">
        <v>2318</v>
      </c>
      <c r="F747" t="s">
        <v>3897</v>
      </c>
      <c r="G747" t="s">
        <v>296</v>
      </c>
      <c r="H747" t="s">
        <v>2273</v>
      </c>
      <c r="I747" t="s">
        <v>2274</v>
      </c>
      <c r="J747" t="s">
        <v>2316</v>
      </c>
      <c r="K747" t="s">
        <v>2317</v>
      </c>
      <c r="L747">
        <v>0</v>
      </c>
      <c r="M747">
        <v>98</v>
      </c>
      <c r="N747">
        <v>121000</v>
      </c>
      <c r="O747">
        <v>32.272193999999999</v>
      </c>
      <c r="P747">
        <v>36.084944</v>
      </c>
      <c r="Q747" t="s">
        <v>2319</v>
      </c>
      <c r="S747" t="s">
        <v>2525</v>
      </c>
      <c r="U747" t="s">
        <v>3898</v>
      </c>
      <c r="W747" t="s">
        <v>2320</v>
      </c>
      <c r="Y747" t="s">
        <v>30</v>
      </c>
      <c r="Z747" t="s">
        <v>30</v>
      </c>
      <c r="AA747" t="str">
        <f>IF(NOT("https://maps.app.goo.gl/k355T1oootKL9wnWA" = ""), HYPERLINK("https://maps.app.goo.gl/k355T1oootKL9wnWA", "موقع"), "")</f>
        <v>موقع</v>
      </c>
    </row>
    <row r="748" spans="1:27" x14ac:dyDescent="0.3">
      <c r="A748" t="s">
        <v>2321</v>
      </c>
      <c r="B748" s="8">
        <v>46282.623217592591</v>
      </c>
      <c r="C748" t="s">
        <v>2</v>
      </c>
      <c r="D748" t="s">
        <v>315</v>
      </c>
      <c r="E748" t="s">
        <v>2324</v>
      </c>
      <c r="F748" t="s">
        <v>3899</v>
      </c>
      <c r="G748" t="s">
        <v>296</v>
      </c>
      <c r="H748" t="s">
        <v>2273</v>
      </c>
      <c r="I748" t="s">
        <v>2274</v>
      </c>
      <c r="J748" t="s">
        <v>2322</v>
      </c>
      <c r="K748" t="s">
        <v>2323</v>
      </c>
      <c r="L748">
        <v>0</v>
      </c>
      <c r="M748">
        <v>463</v>
      </c>
      <c r="N748">
        <v>177000</v>
      </c>
      <c r="Q748" t="s">
        <v>2325</v>
      </c>
      <c r="S748" t="s">
        <v>2525</v>
      </c>
      <c r="W748" t="s">
        <v>2326</v>
      </c>
      <c r="Y748" t="s">
        <v>30</v>
      </c>
      <c r="Z748" t="s">
        <v>30</v>
      </c>
      <c r="AA748" t="s">
        <v>30</v>
      </c>
    </row>
    <row r="749" spans="1:27" x14ac:dyDescent="0.3">
      <c r="A749" t="s">
        <v>2327</v>
      </c>
      <c r="B749" s="8">
        <v>46282.623217592591</v>
      </c>
      <c r="C749" t="s">
        <v>2</v>
      </c>
      <c r="D749" t="s">
        <v>315</v>
      </c>
      <c r="E749" t="s">
        <v>2330</v>
      </c>
      <c r="F749" t="s">
        <v>3900</v>
      </c>
      <c r="G749" t="s">
        <v>296</v>
      </c>
      <c r="H749" t="s">
        <v>2273</v>
      </c>
      <c r="I749" t="s">
        <v>2274</v>
      </c>
      <c r="J749" t="s">
        <v>2328</v>
      </c>
      <c r="K749" t="s">
        <v>2329</v>
      </c>
      <c r="L749">
        <v>0</v>
      </c>
      <c r="M749">
        <v>363</v>
      </c>
      <c r="Q749" t="s">
        <v>2331</v>
      </c>
      <c r="S749" t="s">
        <v>2525</v>
      </c>
      <c r="Y749" t="s">
        <v>30</v>
      </c>
      <c r="Z749" t="s">
        <v>30</v>
      </c>
      <c r="AA749" t="s">
        <v>30</v>
      </c>
    </row>
    <row r="750" spans="1:27" x14ac:dyDescent="0.3">
      <c r="A750" t="s">
        <v>2332</v>
      </c>
      <c r="B750" s="8">
        <v>46282.623217592591</v>
      </c>
      <c r="C750" t="s">
        <v>2</v>
      </c>
      <c r="D750" t="s">
        <v>469</v>
      </c>
      <c r="E750" t="s">
        <v>2318</v>
      </c>
      <c r="F750" t="s">
        <v>3901</v>
      </c>
      <c r="G750" t="s">
        <v>468</v>
      </c>
      <c r="H750" t="s">
        <v>2273</v>
      </c>
      <c r="I750" t="s">
        <v>2274</v>
      </c>
      <c r="J750" t="s">
        <v>2316</v>
      </c>
      <c r="K750" t="s">
        <v>2333</v>
      </c>
      <c r="L750">
        <v>0</v>
      </c>
      <c r="M750">
        <v>740</v>
      </c>
      <c r="N750">
        <v>5000</v>
      </c>
      <c r="O750">
        <v>32.271861000000001</v>
      </c>
      <c r="P750">
        <v>36.056638999999997</v>
      </c>
      <c r="Q750" t="s">
        <v>2334</v>
      </c>
      <c r="S750" t="s">
        <v>2525</v>
      </c>
      <c r="U750" t="s">
        <v>3902</v>
      </c>
      <c r="W750" t="s">
        <v>2335</v>
      </c>
      <c r="Y750" t="s">
        <v>30</v>
      </c>
      <c r="Z750" t="s">
        <v>30</v>
      </c>
      <c r="AA750" t="str">
        <f>IF(NOT("https://maps.app.goo.gl/kc7U7YQmM5T89Xcu7" = ""), HYPERLINK("https://maps.app.goo.gl/kc7U7YQmM5T89Xcu7", "موقع"), "")</f>
        <v>موقع</v>
      </c>
    </row>
    <row r="751" spans="1:27" x14ac:dyDescent="0.3">
      <c r="A751" t="s">
        <v>2336</v>
      </c>
      <c r="B751" s="8">
        <v>46282.623217592591</v>
      </c>
      <c r="C751" t="s">
        <v>2</v>
      </c>
      <c r="D751" t="s">
        <v>469</v>
      </c>
      <c r="E751" t="s">
        <v>2318</v>
      </c>
      <c r="F751" t="s">
        <v>3903</v>
      </c>
      <c r="G751" t="s">
        <v>468</v>
      </c>
      <c r="H751" t="s">
        <v>2273</v>
      </c>
      <c r="I751" t="s">
        <v>2274</v>
      </c>
      <c r="J751" t="s">
        <v>2316</v>
      </c>
      <c r="K751" t="s">
        <v>2337</v>
      </c>
      <c r="L751">
        <v>0</v>
      </c>
      <c r="M751">
        <v>245</v>
      </c>
      <c r="N751">
        <v>6000</v>
      </c>
      <c r="O751">
        <v>32.288694</v>
      </c>
      <c r="P751">
        <v>36.099139000000001</v>
      </c>
      <c r="Q751" t="s">
        <v>2338</v>
      </c>
      <c r="S751" t="s">
        <v>2525</v>
      </c>
      <c r="T751" t="s">
        <v>3904</v>
      </c>
      <c r="U751" t="s">
        <v>3905</v>
      </c>
      <c r="W751" t="s">
        <v>2339</v>
      </c>
      <c r="Y751" t="s">
        <v>30</v>
      </c>
      <c r="Z751" t="s">
        <v>30</v>
      </c>
      <c r="AA751" t="str">
        <f>IF(NOT("https://maps.app.goo.gl/dT6kJTV6k5NGPTyG9" = ""), HYPERLINK("https://maps.app.goo.gl/dT6kJTV6k5NGPTyG9", "موقع"), "")</f>
        <v>موقع</v>
      </c>
    </row>
    <row r="752" spans="1:27" x14ac:dyDescent="0.3">
      <c r="A752" t="s">
        <v>2340</v>
      </c>
      <c r="B752" s="8">
        <v>46282.623217592591</v>
      </c>
      <c r="C752" t="s">
        <v>2</v>
      </c>
      <c r="D752" t="s">
        <v>469</v>
      </c>
      <c r="E752" t="s">
        <v>2343</v>
      </c>
      <c r="F752" t="s">
        <v>3906</v>
      </c>
      <c r="G752" t="s">
        <v>468</v>
      </c>
      <c r="H752" t="s">
        <v>2273</v>
      </c>
      <c r="I752" t="s">
        <v>2274</v>
      </c>
      <c r="J752" t="s">
        <v>2341</v>
      </c>
      <c r="K752" t="s">
        <v>2342</v>
      </c>
      <c r="L752">
        <v>0</v>
      </c>
      <c r="M752">
        <v>724</v>
      </c>
      <c r="N752">
        <v>11000</v>
      </c>
      <c r="O752">
        <v>32.454721999999997</v>
      </c>
      <c r="P752">
        <v>36.189388999999998</v>
      </c>
      <c r="Q752" t="s">
        <v>2344</v>
      </c>
      <c r="S752" t="s">
        <v>2525</v>
      </c>
      <c r="U752" t="s">
        <v>3907</v>
      </c>
      <c r="W752" t="s">
        <v>2345</v>
      </c>
      <c r="Y752" t="s">
        <v>30</v>
      </c>
      <c r="Z752" t="s">
        <v>30</v>
      </c>
      <c r="AA752" t="str">
        <f>IF(NOT("https://maps.app.goo.gl/MwwRAxQ13wK14qUJA" = ""), HYPERLINK("https://maps.app.goo.gl/MwwRAxQ13wK14qUJA", "موقع"), "")</f>
        <v>موقع</v>
      </c>
    </row>
    <row r="753" spans="1:27" x14ac:dyDescent="0.3">
      <c r="A753" t="s">
        <v>2346</v>
      </c>
      <c r="B753" s="8">
        <v>46282.623217592591</v>
      </c>
      <c r="C753" t="s">
        <v>2</v>
      </c>
      <c r="D753" t="s">
        <v>469</v>
      </c>
      <c r="E753" t="s">
        <v>2343</v>
      </c>
      <c r="F753" t="s">
        <v>3908</v>
      </c>
      <c r="G753" t="s">
        <v>468</v>
      </c>
      <c r="H753" t="s">
        <v>2273</v>
      </c>
      <c r="I753" t="s">
        <v>2274</v>
      </c>
      <c r="J753" t="s">
        <v>2341</v>
      </c>
      <c r="K753" t="s">
        <v>2347</v>
      </c>
      <c r="L753">
        <v>0</v>
      </c>
      <c r="M753">
        <v>993</v>
      </c>
      <c r="N753">
        <v>20000</v>
      </c>
      <c r="Q753" t="s">
        <v>2348</v>
      </c>
      <c r="S753" t="s">
        <v>2525</v>
      </c>
      <c r="W753" t="s">
        <v>2349</v>
      </c>
      <c r="Y753" t="s">
        <v>30</v>
      </c>
      <c r="Z753" t="s">
        <v>30</v>
      </c>
      <c r="AA753" t="s">
        <v>30</v>
      </c>
    </row>
    <row r="754" spans="1:27" x14ac:dyDescent="0.3">
      <c r="A754" t="s">
        <v>2350</v>
      </c>
      <c r="B754" s="8">
        <v>46282.623217592591</v>
      </c>
      <c r="C754" t="s">
        <v>2</v>
      </c>
      <c r="D754" t="s">
        <v>469</v>
      </c>
      <c r="E754" t="s">
        <v>2343</v>
      </c>
      <c r="F754" t="s">
        <v>3909</v>
      </c>
      <c r="G754" t="s">
        <v>468</v>
      </c>
      <c r="H754" t="s">
        <v>2273</v>
      </c>
      <c r="I754" t="s">
        <v>2274</v>
      </c>
      <c r="J754" t="s">
        <v>2341</v>
      </c>
      <c r="K754" t="s">
        <v>2347</v>
      </c>
      <c r="L754">
        <v>0</v>
      </c>
      <c r="M754">
        <v>994</v>
      </c>
      <c r="N754">
        <v>20000</v>
      </c>
      <c r="Q754" t="s">
        <v>2351</v>
      </c>
      <c r="S754" t="s">
        <v>2525</v>
      </c>
      <c r="W754" t="s">
        <v>2352</v>
      </c>
      <c r="Y754" t="s">
        <v>30</v>
      </c>
      <c r="Z754" t="s">
        <v>30</v>
      </c>
      <c r="AA754" t="s">
        <v>30</v>
      </c>
    </row>
    <row r="755" spans="1:27" x14ac:dyDescent="0.3">
      <c r="A755" t="s">
        <v>2353</v>
      </c>
      <c r="B755" s="8">
        <v>46282.623217592591</v>
      </c>
      <c r="C755" t="s">
        <v>2</v>
      </c>
      <c r="D755" t="s">
        <v>469</v>
      </c>
      <c r="E755" t="s">
        <v>2330</v>
      </c>
      <c r="F755" t="s">
        <v>3910</v>
      </c>
      <c r="G755" t="s">
        <v>468</v>
      </c>
      <c r="H755" t="s">
        <v>2273</v>
      </c>
      <c r="I755" t="s">
        <v>2274</v>
      </c>
      <c r="J755" t="s">
        <v>2328</v>
      </c>
      <c r="K755" t="s">
        <v>2354</v>
      </c>
      <c r="L755">
        <v>0</v>
      </c>
      <c r="M755">
        <v>37</v>
      </c>
      <c r="N755">
        <v>34000</v>
      </c>
      <c r="O755">
        <v>32.219943999999998</v>
      </c>
      <c r="P755">
        <v>36.028193999999999</v>
      </c>
      <c r="Q755" t="s">
        <v>2355</v>
      </c>
      <c r="S755" t="s">
        <v>2525</v>
      </c>
      <c r="U755" t="s">
        <v>3911</v>
      </c>
      <c r="W755" t="s">
        <v>2356</v>
      </c>
      <c r="Y755" t="s">
        <v>30</v>
      </c>
      <c r="Z755" t="s">
        <v>30</v>
      </c>
      <c r="AA755" t="str">
        <f>IF(NOT("https://maps.app.goo.gl/UkRqktd5M8JZCG5VA" = ""), HYPERLINK("https://maps.app.goo.gl/UkRqktd5M8JZCG5VA", "موقع"), "")</f>
        <v>موقع</v>
      </c>
    </row>
    <row r="756" spans="1:27" x14ac:dyDescent="0.3">
      <c r="A756" t="s">
        <v>2357</v>
      </c>
      <c r="B756" s="8">
        <v>46282.623217592591</v>
      </c>
      <c r="C756" t="s">
        <v>2</v>
      </c>
      <c r="D756" t="s">
        <v>469</v>
      </c>
      <c r="E756" t="s">
        <v>2343</v>
      </c>
      <c r="F756" t="s">
        <v>3906</v>
      </c>
      <c r="G756" t="s">
        <v>468</v>
      </c>
      <c r="H756" t="s">
        <v>2273</v>
      </c>
      <c r="I756" t="s">
        <v>2274</v>
      </c>
      <c r="J756" t="s">
        <v>2341</v>
      </c>
      <c r="K756" t="s">
        <v>2347</v>
      </c>
      <c r="L756">
        <v>0</v>
      </c>
      <c r="M756">
        <v>996</v>
      </c>
      <c r="N756">
        <v>40000</v>
      </c>
      <c r="Q756" t="s">
        <v>2358</v>
      </c>
      <c r="S756" t="s">
        <v>2525</v>
      </c>
      <c r="W756" t="s">
        <v>2359</v>
      </c>
      <c r="Y756" t="s">
        <v>30</v>
      </c>
      <c r="Z756" t="s">
        <v>30</v>
      </c>
      <c r="AA756" t="s">
        <v>30</v>
      </c>
    </row>
    <row r="757" spans="1:27" x14ac:dyDescent="0.3">
      <c r="A757" t="s">
        <v>2360</v>
      </c>
      <c r="B757" s="8">
        <v>46282.623217592591</v>
      </c>
      <c r="C757" t="s">
        <v>2</v>
      </c>
      <c r="D757" t="s">
        <v>469</v>
      </c>
      <c r="E757" t="s">
        <v>2362</v>
      </c>
      <c r="F757" t="s">
        <v>3912</v>
      </c>
      <c r="G757" t="s">
        <v>468</v>
      </c>
      <c r="H757" t="s">
        <v>2273</v>
      </c>
      <c r="I757" t="s">
        <v>2274</v>
      </c>
      <c r="J757" t="s">
        <v>2275</v>
      </c>
      <c r="K757" t="s">
        <v>2361</v>
      </c>
      <c r="L757">
        <v>0</v>
      </c>
      <c r="M757">
        <v>306</v>
      </c>
      <c r="N757">
        <v>49000</v>
      </c>
      <c r="O757">
        <v>32.323222000000001</v>
      </c>
      <c r="P757">
        <v>36.219805999999998</v>
      </c>
      <c r="Q757" t="s">
        <v>2363</v>
      </c>
      <c r="S757" t="s">
        <v>2525</v>
      </c>
      <c r="T757" t="s">
        <v>3913</v>
      </c>
      <c r="U757" t="s">
        <v>3914</v>
      </c>
      <c r="W757" t="s">
        <v>2364</v>
      </c>
      <c r="Y757" t="s">
        <v>30</v>
      </c>
      <c r="Z757" t="s">
        <v>30</v>
      </c>
      <c r="AA757" t="str">
        <f>IF(NOT("https://maps.app.goo.gl/K8zsdyQ4hX6ALtGE9" = ""), HYPERLINK("https://maps.app.goo.gl/K8zsdyQ4hX6ALtGE9", "موقع"), "")</f>
        <v>موقع</v>
      </c>
    </row>
    <row r="758" spans="1:27" x14ac:dyDescent="0.3">
      <c r="A758" t="s">
        <v>2365</v>
      </c>
      <c r="B758" s="8">
        <v>46282.623217592591</v>
      </c>
      <c r="C758" t="s">
        <v>2</v>
      </c>
      <c r="D758" t="s">
        <v>469</v>
      </c>
      <c r="E758" t="s">
        <v>2318</v>
      </c>
      <c r="F758" t="s">
        <v>3915</v>
      </c>
      <c r="G758" t="s">
        <v>468</v>
      </c>
      <c r="H758" t="s">
        <v>2273</v>
      </c>
      <c r="I758" t="s">
        <v>2274</v>
      </c>
      <c r="J758" t="s">
        <v>2316</v>
      </c>
      <c r="K758" t="s">
        <v>2366</v>
      </c>
      <c r="L758">
        <v>0</v>
      </c>
      <c r="M758">
        <v>703</v>
      </c>
      <c r="N758">
        <v>73000</v>
      </c>
      <c r="O758">
        <v>32.289028000000002</v>
      </c>
      <c r="P758">
        <v>36.104388999999998</v>
      </c>
      <c r="Q758" t="s">
        <v>2367</v>
      </c>
      <c r="S758" t="s">
        <v>2525</v>
      </c>
      <c r="U758" t="s">
        <v>3916</v>
      </c>
      <c r="W758" t="s">
        <v>2335</v>
      </c>
      <c r="Y758" t="s">
        <v>30</v>
      </c>
      <c r="Z758" t="s">
        <v>30</v>
      </c>
      <c r="AA758" t="str">
        <f>IF(NOT("https://maps.app.goo.gl/MMsHNeujx3BPVZt17" = ""), HYPERLINK("https://maps.app.goo.gl/MMsHNeujx3BPVZt17", "موقع"), "")</f>
        <v>موقع</v>
      </c>
    </row>
    <row r="759" spans="1:27" x14ac:dyDescent="0.3">
      <c r="A759" t="s">
        <v>2368</v>
      </c>
      <c r="B759" s="8">
        <v>46282.623217592591</v>
      </c>
      <c r="C759" t="s">
        <v>2</v>
      </c>
      <c r="D759" t="s">
        <v>469</v>
      </c>
      <c r="E759" t="s">
        <v>2318</v>
      </c>
      <c r="F759" t="s">
        <v>3917</v>
      </c>
      <c r="G759" t="s">
        <v>468</v>
      </c>
      <c r="H759" t="s">
        <v>2273</v>
      </c>
      <c r="I759" t="s">
        <v>2274</v>
      </c>
      <c r="J759" t="s">
        <v>2316</v>
      </c>
      <c r="K759" t="s">
        <v>2369</v>
      </c>
      <c r="L759">
        <v>0</v>
      </c>
      <c r="M759">
        <v>16</v>
      </c>
      <c r="N759">
        <v>76000</v>
      </c>
      <c r="O759">
        <v>32.285361000000002</v>
      </c>
      <c r="P759">
        <v>36.132416999999997</v>
      </c>
      <c r="Q759" t="s">
        <v>2370</v>
      </c>
      <c r="S759" t="s">
        <v>2525</v>
      </c>
      <c r="U759" t="s">
        <v>3918</v>
      </c>
      <c r="W759" t="s">
        <v>2335</v>
      </c>
      <c r="Y759" t="s">
        <v>30</v>
      </c>
      <c r="Z759" t="s">
        <v>30</v>
      </c>
      <c r="AA759" t="str">
        <f>IF(NOT("https://maps.app.goo.gl/BBgu1F1fkuk4qHFDA" = ""), HYPERLINK("https://maps.app.goo.gl/BBgu1F1fkuk4qHFDA", "موقع"), "")</f>
        <v>موقع</v>
      </c>
    </row>
    <row r="760" spans="1:27" x14ac:dyDescent="0.3">
      <c r="A760" t="s">
        <v>2371</v>
      </c>
      <c r="B760" s="8">
        <v>46282.623217592591</v>
      </c>
      <c r="C760" t="s">
        <v>2</v>
      </c>
      <c r="D760" t="s">
        <v>469</v>
      </c>
      <c r="E760" t="s">
        <v>2374</v>
      </c>
      <c r="F760" t="s">
        <v>3919</v>
      </c>
      <c r="G760" t="s">
        <v>468</v>
      </c>
      <c r="H760" t="s">
        <v>2273</v>
      </c>
      <c r="I760" t="s">
        <v>2274</v>
      </c>
      <c r="J760" t="s">
        <v>2372</v>
      </c>
      <c r="K760" t="s">
        <v>2373</v>
      </c>
      <c r="L760">
        <v>0</v>
      </c>
      <c r="M760">
        <v>485</v>
      </c>
      <c r="O760">
        <v>32.206861000000004</v>
      </c>
      <c r="P760">
        <v>36.298555999999998</v>
      </c>
      <c r="Q760" t="s">
        <v>2375</v>
      </c>
      <c r="S760" t="s">
        <v>2525</v>
      </c>
      <c r="T760" t="s">
        <v>3920</v>
      </c>
      <c r="U760" t="s">
        <v>3921</v>
      </c>
      <c r="Y760" t="s">
        <v>30</v>
      </c>
      <c r="Z760" t="s">
        <v>30</v>
      </c>
      <c r="AA760" t="str">
        <f>IF(NOT("https://maps.app.goo.gl/rPrWHnNVBQSMcHEG6" = ""), HYPERLINK("https://maps.app.goo.gl/rPrWHnNVBQSMcHEG6", "موقع"), "")</f>
        <v>موقع</v>
      </c>
    </row>
    <row r="761" spans="1:27" x14ac:dyDescent="0.3">
      <c r="A761" t="s">
        <v>2376</v>
      </c>
      <c r="B761" s="8">
        <v>46282.623217592591</v>
      </c>
      <c r="C761" t="s">
        <v>2</v>
      </c>
      <c r="D761" t="s">
        <v>522</v>
      </c>
      <c r="E761" t="s">
        <v>2330</v>
      </c>
      <c r="F761" t="s">
        <v>3922</v>
      </c>
      <c r="G761" t="s">
        <v>296</v>
      </c>
      <c r="H761" t="s">
        <v>2273</v>
      </c>
      <c r="I761" t="s">
        <v>2274</v>
      </c>
      <c r="J761" t="s">
        <v>2377</v>
      </c>
      <c r="K761" t="s">
        <v>2276</v>
      </c>
      <c r="L761">
        <v>0</v>
      </c>
      <c r="M761">
        <v>706</v>
      </c>
      <c r="N761">
        <v>17000</v>
      </c>
      <c r="O761">
        <v>32.269306</v>
      </c>
      <c r="P761">
        <v>36.152472000000003</v>
      </c>
      <c r="Q761" t="s">
        <v>2378</v>
      </c>
      <c r="S761" t="s">
        <v>2525</v>
      </c>
      <c r="U761" t="s">
        <v>3923</v>
      </c>
      <c r="W761" t="s">
        <v>2379</v>
      </c>
      <c r="Y761" t="s">
        <v>30</v>
      </c>
      <c r="Z761" t="s">
        <v>30</v>
      </c>
      <c r="AA761" t="str">
        <f>IF(NOT("https://maps.app.goo.gl/RFbjktinC4wAW5hL7" = ""), HYPERLINK("https://maps.app.goo.gl/RFbjktinC4wAW5hL7", "موقع"), "")</f>
        <v>موقع</v>
      </c>
    </row>
    <row r="762" spans="1:27" x14ac:dyDescent="0.3">
      <c r="A762" t="s">
        <v>2380</v>
      </c>
      <c r="B762" s="8">
        <v>46282.623217592591</v>
      </c>
      <c r="C762" t="s">
        <v>2</v>
      </c>
      <c r="D762" t="s">
        <v>59</v>
      </c>
      <c r="E762" t="s">
        <v>345</v>
      </c>
      <c r="F762" t="s">
        <v>3924</v>
      </c>
      <c r="G762" t="s">
        <v>21</v>
      </c>
      <c r="H762" t="s">
        <v>2381</v>
      </c>
      <c r="I762" t="s">
        <v>2382</v>
      </c>
      <c r="J762" t="s">
        <v>2383</v>
      </c>
      <c r="K762" t="s">
        <v>2384</v>
      </c>
      <c r="L762">
        <v>132</v>
      </c>
      <c r="M762">
        <v>1239</v>
      </c>
      <c r="N762">
        <v>33000</v>
      </c>
      <c r="Q762" t="s">
        <v>1227</v>
      </c>
      <c r="S762" t="s">
        <v>2525</v>
      </c>
      <c r="V762" t="s">
        <v>55</v>
      </c>
      <c r="W762" t="s">
        <v>2385</v>
      </c>
      <c r="Y762" t="s">
        <v>30</v>
      </c>
      <c r="Z762" t="s">
        <v>30</v>
      </c>
      <c r="AA762" t="s">
        <v>30</v>
      </c>
    </row>
    <row r="763" spans="1:27" x14ac:dyDescent="0.3">
      <c r="A763" t="s">
        <v>2386</v>
      </c>
      <c r="B763" s="8">
        <v>46282.623217592591</v>
      </c>
      <c r="C763" t="s">
        <v>2</v>
      </c>
      <c r="D763" t="s">
        <v>297</v>
      </c>
      <c r="E763" t="s">
        <v>345</v>
      </c>
      <c r="F763" t="s">
        <v>3925</v>
      </c>
      <c r="G763" t="s">
        <v>296</v>
      </c>
      <c r="H763" t="s">
        <v>2381</v>
      </c>
      <c r="I763" t="s">
        <v>2382</v>
      </c>
      <c r="J763" t="s">
        <v>2383</v>
      </c>
      <c r="K763" t="s">
        <v>2387</v>
      </c>
      <c r="L763">
        <v>0</v>
      </c>
      <c r="M763">
        <v>348</v>
      </c>
      <c r="N763">
        <v>341000</v>
      </c>
      <c r="O763">
        <v>32.275638999999998</v>
      </c>
      <c r="P763">
        <v>35.892833000000003</v>
      </c>
      <c r="Q763" t="s">
        <v>2388</v>
      </c>
      <c r="S763" t="s">
        <v>2525</v>
      </c>
      <c r="U763" t="s">
        <v>3926</v>
      </c>
      <c r="W763" t="s">
        <v>2389</v>
      </c>
      <c r="Y763" t="s">
        <v>30</v>
      </c>
      <c r="Z763" t="s">
        <v>30</v>
      </c>
      <c r="AA763" t="str">
        <f>IF(NOT("https://maps.app.goo.gl/xE3sXfjyUEiWQcwe9" = ""), HYPERLINK("https://maps.app.goo.gl/xE3sXfjyUEiWQcwe9", "موقع"), "")</f>
        <v>موقع</v>
      </c>
    </row>
    <row r="764" spans="1:27" x14ac:dyDescent="0.3">
      <c r="A764" t="s">
        <v>2390</v>
      </c>
      <c r="B764" s="8">
        <v>46282.623217592591</v>
      </c>
      <c r="C764" t="s">
        <v>2</v>
      </c>
      <c r="D764" t="s">
        <v>315</v>
      </c>
      <c r="E764" t="s">
        <v>2393</v>
      </c>
      <c r="F764" t="s">
        <v>3927</v>
      </c>
      <c r="G764" t="s">
        <v>296</v>
      </c>
      <c r="H764" t="s">
        <v>2381</v>
      </c>
      <c r="I764" t="s">
        <v>2382</v>
      </c>
      <c r="J764" t="s">
        <v>2391</v>
      </c>
      <c r="K764" t="s">
        <v>2392</v>
      </c>
      <c r="L764">
        <v>0</v>
      </c>
      <c r="M764">
        <v>715</v>
      </c>
      <c r="N764">
        <v>77000</v>
      </c>
      <c r="Q764" t="s">
        <v>2394</v>
      </c>
      <c r="S764" t="s">
        <v>2525</v>
      </c>
      <c r="W764" t="s">
        <v>2395</v>
      </c>
      <c r="Y764" t="s">
        <v>30</v>
      </c>
      <c r="Z764" t="s">
        <v>30</v>
      </c>
      <c r="AA764" t="s">
        <v>30</v>
      </c>
    </row>
    <row r="765" spans="1:27" x14ac:dyDescent="0.3">
      <c r="A765" t="s">
        <v>2396</v>
      </c>
      <c r="B765" s="8">
        <v>46282.623217592591</v>
      </c>
      <c r="C765" t="s">
        <v>2</v>
      </c>
      <c r="D765" t="s">
        <v>315</v>
      </c>
      <c r="E765" t="s">
        <v>345</v>
      </c>
      <c r="F765" t="s">
        <v>3928</v>
      </c>
      <c r="G765" t="s">
        <v>296</v>
      </c>
      <c r="H765" t="s">
        <v>2381</v>
      </c>
      <c r="I765" t="s">
        <v>2382</v>
      </c>
      <c r="J765" t="s">
        <v>2383</v>
      </c>
      <c r="K765" t="s">
        <v>2397</v>
      </c>
      <c r="L765">
        <v>0</v>
      </c>
      <c r="M765">
        <v>599</v>
      </c>
      <c r="N765">
        <v>314000</v>
      </c>
      <c r="Q765" t="s">
        <v>2398</v>
      </c>
      <c r="S765" t="s">
        <v>2525</v>
      </c>
      <c r="W765" t="s">
        <v>2399</v>
      </c>
      <c r="Y765" t="s">
        <v>30</v>
      </c>
      <c r="Z765" t="s">
        <v>30</v>
      </c>
      <c r="AA765" t="s">
        <v>30</v>
      </c>
    </row>
    <row r="766" spans="1:27" x14ac:dyDescent="0.3">
      <c r="A766" t="s">
        <v>2400</v>
      </c>
      <c r="B766" s="8">
        <v>46282.623217592591</v>
      </c>
      <c r="C766" t="s">
        <v>2</v>
      </c>
      <c r="D766" t="s">
        <v>315</v>
      </c>
      <c r="E766" t="s">
        <v>345</v>
      </c>
      <c r="F766" t="s">
        <v>3929</v>
      </c>
      <c r="G766" t="s">
        <v>296</v>
      </c>
      <c r="H766" t="s">
        <v>2381</v>
      </c>
      <c r="I766" t="s">
        <v>2382</v>
      </c>
      <c r="J766" t="s">
        <v>2383</v>
      </c>
      <c r="K766" t="s">
        <v>2384</v>
      </c>
      <c r="L766">
        <v>0</v>
      </c>
      <c r="M766">
        <v>2152</v>
      </c>
      <c r="Q766" t="s">
        <v>2401</v>
      </c>
      <c r="S766" t="s">
        <v>2525</v>
      </c>
      <c r="Y766" t="s">
        <v>30</v>
      </c>
      <c r="Z766" t="s">
        <v>30</v>
      </c>
      <c r="AA766" t="s">
        <v>30</v>
      </c>
    </row>
    <row r="767" spans="1:27" x14ac:dyDescent="0.3">
      <c r="A767" t="s">
        <v>2402</v>
      </c>
      <c r="B767" s="8">
        <v>46282.623217592591</v>
      </c>
      <c r="C767" t="s">
        <v>2</v>
      </c>
      <c r="D767" t="s">
        <v>315</v>
      </c>
      <c r="E767" t="s">
        <v>345</v>
      </c>
      <c r="F767" t="s">
        <v>3930</v>
      </c>
      <c r="G767" t="s">
        <v>296</v>
      </c>
      <c r="H767" t="s">
        <v>2381</v>
      </c>
      <c r="I767" t="s">
        <v>2382</v>
      </c>
      <c r="J767" t="s">
        <v>2383</v>
      </c>
      <c r="K767" t="s">
        <v>2384</v>
      </c>
      <c r="L767">
        <v>0</v>
      </c>
      <c r="M767">
        <v>2253</v>
      </c>
      <c r="O767">
        <v>32.279916999999998</v>
      </c>
      <c r="P767">
        <v>35.906193999999999</v>
      </c>
      <c r="Q767" t="s">
        <v>2403</v>
      </c>
      <c r="S767" t="s">
        <v>2525</v>
      </c>
      <c r="U767" t="s">
        <v>3931</v>
      </c>
      <c r="Y767" t="s">
        <v>30</v>
      </c>
      <c r="Z767" t="s">
        <v>30</v>
      </c>
      <c r="AA767" t="str">
        <f>IF(NOT("https://maps.app.goo.gl/TVq7WyBgkfJkvZHB6" = ""), HYPERLINK("https://maps.app.goo.gl/TVq7WyBgkfJkvZHB6", "موقع"), "")</f>
        <v>موقع</v>
      </c>
    </row>
    <row r="768" spans="1:27" x14ac:dyDescent="0.3">
      <c r="A768" t="s">
        <v>2404</v>
      </c>
      <c r="B768" s="8">
        <v>46282.623217592591</v>
      </c>
      <c r="C768" t="s">
        <v>2</v>
      </c>
      <c r="D768" t="s">
        <v>469</v>
      </c>
      <c r="E768" t="s">
        <v>345</v>
      </c>
      <c r="F768" t="s">
        <v>3932</v>
      </c>
      <c r="G768" t="s">
        <v>468</v>
      </c>
      <c r="H768" t="s">
        <v>2381</v>
      </c>
      <c r="I768" t="s">
        <v>2382</v>
      </c>
      <c r="J768" t="s">
        <v>2383</v>
      </c>
      <c r="K768" t="s">
        <v>2405</v>
      </c>
      <c r="L768">
        <v>0</v>
      </c>
      <c r="M768">
        <v>1602</v>
      </c>
      <c r="N768">
        <v>100000</v>
      </c>
      <c r="O768">
        <v>32.276055999999997</v>
      </c>
      <c r="P768">
        <v>35.911417</v>
      </c>
      <c r="Q768" t="s">
        <v>2406</v>
      </c>
      <c r="R768" t="s">
        <v>3933</v>
      </c>
      <c r="S768" t="s">
        <v>2525</v>
      </c>
      <c r="T768" t="s">
        <v>3934</v>
      </c>
      <c r="U768" t="s">
        <v>3935</v>
      </c>
      <c r="W768" t="s">
        <v>2407</v>
      </c>
      <c r="Y768" t="s">
        <v>30</v>
      </c>
      <c r="Z768" t="str">
        <f>IF(NOT("https://www.true-markets.net/media/360tour/housing-bank/1602/index.html" = ""), HYPERLINK("https://www.true-markets.net/media/360tour/housing-bank/1602/index.html", "جولة"), "")</f>
        <v>جولة</v>
      </c>
      <c r="AA768" t="str">
        <f>IF(NOT("https://maps.app.goo.gl/KaBoiGDnFFndWYHSA" = ""), HYPERLINK("https://maps.app.goo.gl/KaBoiGDnFFndWYHSA", "موقع"), "")</f>
        <v>موقع</v>
      </c>
    </row>
    <row r="769" spans="1:27" x14ac:dyDescent="0.3">
      <c r="A769" t="s">
        <v>2408</v>
      </c>
      <c r="B769" s="8">
        <v>46282.623217592591</v>
      </c>
      <c r="C769" t="s">
        <v>2</v>
      </c>
      <c r="D769" t="s">
        <v>469</v>
      </c>
      <c r="E769" t="s">
        <v>2411</v>
      </c>
      <c r="F769" t="s">
        <v>3936</v>
      </c>
      <c r="G769" t="s">
        <v>468</v>
      </c>
      <c r="H769" t="s">
        <v>2381</v>
      </c>
      <c r="I769" t="s">
        <v>2382</v>
      </c>
      <c r="J769" t="s">
        <v>2409</v>
      </c>
      <c r="K769" t="s">
        <v>2410</v>
      </c>
      <c r="L769">
        <v>0</v>
      </c>
      <c r="M769">
        <v>114</v>
      </c>
      <c r="O769">
        <v>32.270028000000003</v>
      </c>
      <c r="P769">
        <v>35.855916999999998</v>
      </c>
      <c r="Q769" t="s">
        <v>2412</v>
      </c>
      <c r="R769" t="s">
        <v>3937</v>
      </c>
      <c r="S769" t="s">
        <v>2525</v>
      </c>
      <c r="T769" t="s">
        <v>3938</v>
      </c>
      <c r="U769" t="s">
        <v>3939</v>
      </c>
      <c r="Y769" t="s">
        <v>30</v>
      </c>
      <c r="Z769" t="str">
        <f>IF(NOT("https://www.true-markets.net/media/360tour/housing-bank/114/index.html" = ""), HYPERLINK("https://www.true-markets.net/media/360tour/housing-bank/114/index.html", "جولة"), "")</f>
        <v>جولة</v>
      </c>
      <c r="AA769" t="str">
        <f>IF(NOT("https://maps.app.goo.gl/LRSDBw7P2UpUAr2UA" = ""), HYPERLINK("https://maps.app.goo.gl/LRSDBw7P2UpUAr2UA", "موقع"), "")</f>
        <v>موقع</v>
      </c>
    </row>
    <row r="770" spans="1:27" x14ac:dyDescent="0.3">
      <c r="A770" t="s">
        <v>2413</v>
      </c>
      <c r="B770" s="8">
        <v>46282.623217592591</v>
      </c>
      <c r="C770" t="s">
        <v>2</v>
      </c>
      <c r="D770" t="s">
        <v>59</v>
      </c>
      <c r="E770" t="s">
        <v>2418</v>
      </c>
      <c r="F770" t="s">
        <v>3940</v>
      </c>
      <c r="G770" t="s">
        <v>21</v>
      </c>
      <c r="H770" t="s">
        <v>2414</v>
      </c>
      <c r="I770" t="s">
        <v>2415</v>
      </c>
      <c r="J770" t="s">
        <v>2416</v>
      </c>
      <c r="K770" t="s">
        <v>2417</v>
      </c>
      <c r="L770">
        <v>-101</v>
      </c>
      <c r="M770">
        <v>388</v>
      </c>
      <c r="N770">
        <v>12000</v>
      </c>
      <c r="Q770" t="s">
        <v>2419</v>
      </c>
      <c r="S770" t="s">
        <v>2525</v>
      </c>
      <c r="V770" t="s">
        <v>33</v>
      </c>
      <c r="W770" t="s">
        <v>2420</v>
      </c>
      <c r="Y770" t="s">
        <v>30</v>
      </c>
      <c r="Z770" t="s">
        <v>30</v>
      </c>
      <c r="AA770" t="s">
        <v>30</v>
      </c>
    </row>
    <row r="771" spans="1:27" x14ac:dyDescent="0.3">
      <c r="A771" t="s">
        <v>2421</v>
      </c>
      <c r="B771" s="8">
        <v>46282.623217592591</v>
      </c>
      <c r="C771" t="s">
        <v>2</v>
      </c>
      <c r="D771" t="s">
        <v>315</v>
      </c>
      <c r="E771" t="s">
        <v>2424</v>
      </c>
      <c r="F771" t="s">
        <v>3941</v>
      </c>
      <c r="G771" t="s">
        <v>296</v>
      </c>
      <c r="H771" t="s">
        <v>2414</v>
      </c>
      <c r="I771" t="s">
        <v>2415</v>
      </c>
      <c r="J771" t="s">
        <v>2422</v>
      </c>
      <c r="K771" t="s">
        <v>2423</v>
      </c>
      <c r="L771">
        <v>0</v>
      </c>
      <c r="M771">
        <v>76</v>
      </c>
      <c r="N771">
        <v>197000</v>
      </c>
      <c r="O771">
        <v>32.340639000000003</v>
      </c>
      <c r="P771">
        <v>35.754249999999999</v>
      </c>
      <c r="Q771" t="s">
        <v>2425</v>
      </c>
      <c r="S771" t="s">
        <v>2525</v>
      </c>
      <c r="U771" t="s">
        <v>3942</v>
      </c>
      <c r="W771" t="s">
        <v>2426</v>
      </c>
      <c r="Y771" t="s">
        <v>30</v>
      </c>
      <c r="Z771" t="s">
        <v>30</v>
      </c>
      <c r="AA771" t="str">
        <f>IF(NOT("https://maps.app.goo.gl/7HoWuNweyFZqUTVC8" = ""), HYPERLINK("https://maps.app.goo.gl/7HoWuNweyFZqUTVC8", "موقع"), "")</f>
        <v>موقع</v>
      </c>
    </row>
    <row r="772" spans="1:27" x14ac:dyDescent="0.3">
      <c r="A772" t="s">
        <v>2427</v>
      </c>
      <c r="B772" s="8">
        <v>46282.623217592591</v>
      </c>
      <c r="C772" t="s">
        <v>2</v>
      </c>
      <c r="D772" t="s">
        <v>469</v>
      </c>
      <c r="E772" t="s">
        <v>762</v>
      </c>
      <c r="F772" t="s">
        <v>3943</v>
      </c>
      <c r="G772" t="s">
        <v>468</v>
      </c>
      <c r="H772" t="s">
        <v>2414</v>
      </c>
      <c r="I772" t="s">
        <v>2415</v>
      </c>
      <c r="J772" t="s">
        <v>2428</v>
      </c>
      <c r="K772" t="s">
        <v>2429</v>
      </c>
      <c r="L772">
        <v>0</v>
      </c>
      <c r="M772">
        <v>302</v>
      </c>
      <c r="N772">
        <v>106000</v>
      </c>
      <c r="O772">
        <v>32.358139000000001</v>
      </c>
      <c r="P772">
        <v>35.679361</v>
      </c>
      <c r="Q772" t="s">
        <v>2430</v>
      </c>
      <c r="S772" t="s">
        <v>2525</v>
      </c>
      <c r="U772" t="s">
        <v>3944</v>
      </c>
      <c r="W772" t="s">
        <v>2431</v>
      </c>
      <c r="Y772" t="s">
        <v>30</v>
      </c>
      <c r="Z772" t="s">
        <v>30</v>
      </c>
      <c r="AA772" t="str">
        <f>IF(NOT("https://maps.app.goo.gl/pYfd6JHCkMS6CqcM9" = ""), HYPERLINK("https://maps.app.goo.gl/pYfd6JHCkMS6CqcM9", "موقع"), "")</f>
        <v>موقع</v>
      </c>
    </row>
    <row r="773" spans="1:27" x14ac:dyDescent="0.3">
      <c r="A773" t="s">
        <v>2432</v>
      </c>
      <c r="B773" s="8">
        <v>46282.623217592591</v>
      </c>
      <c r="C773" t="s">
        <v>2</v>
      </c>
      <c r="D773" t="s">
        <v>59</v>
      </c>
      <c r="E773" t="s">
        <v>2437</v>
      </c>
      <c r="F773" t="s">
        <v>2922</v>
      </c>
      <c r="G773" t="s">
        <v>21</v>
      </c>
      <c r="H773" t="s">
        <v>2433</v>
      </c>
      <c r="I773" t="s">
        <v>2434</v>
      </c>
      <c r="J773" t="s">
        <v>2435</v>
      </c>
      <c r="K773" t="s">
        <v>2436</v>
      </c>
      <c r="L773">
        <v>113</v>
      </c>
      <c r="M773">
        <v>1284</v>
      </c>
      <c r="N773">
        <v>18000</v>
      </c>
      <c r="O773">
        <v>31.719389</v>
      </c>
      <c r="P773">
        <v>35.776361000000001</v>
      </c>
      <c r="Q773" t="s">
        <v>2438</v>
      </c>
      <c r="S773" t="s">
        <v>2525</v>
      </c>
      <c r="U773" t="s">
        <v>3945</v>
      </c>
      <c r="V773" t="s">
        <v>43</v>
      </c>
      <c r="W773" t="s">
        <v>2439</v>
      </c>
      <c r="Y773" t="s">
        <v>30</v>
      </c>
      <c r="Z773" t="s">
        <v>30</v>
      </c>
      <c r="AA773" t="str">
        <f>IF(NOT("https://maps.app.goo.gl/GMiasNieJjGjXAxcA" = ""), HYPERLINK("https://maps.app.goo.gl/GMiasNieJjGjXAxcA", "موقع"), "")</f>
        <v>موقع</v>
      </c>
    </row>
    <row r="774" spans="1:27" x14ac:dyDescent="0.3">
      <c r="A774" t="s">
        <v>2440</v>
      </c>
      <c r="B774" s="8">
        <v>46282.623217592591</v>
      </c>
      <c r="C774" t="s">
        <v>2</v>
      </c>
      <c r="D774" t="s">
        <v>59</v>
      </c>
      <c r="E774" t="s">
        <v>345</v>
      </c>
      <c r="F774" t="s">
        <v>3946</v>
      </c>
      <c r="G774" t="s">
        <v>21</v>
      </c>
      <c r="H774" t="s">
        <v>2433</v>
      </c>
      <c r="I774" t="s">
        <v>2434</v>
      </c>
      <c r="J774" t="s">
        <v>2441</v>
      </c>
      <c r="K774" t="s">
        <v>2442</v>
      </c>
      <c r="L774">
        <v>122</v>
      </c>
      <c r="M774">
        <v>667</v>
      </c>
      <c r="N774">
        <v>52000</v>
      </c>
      <c r="Q774" t="s">
        <v>121</v>
      </c>
      <c r="S774" t="s">
        <v>2525</v>
      </c>
      <c r="V774" t="s">
        <v>73</v>
      </c>
      <c r="W774" t="s">
        <v>2443</v>
      </c>
      <c r="Y774" t="s">
        <v>30</v>
      </c>
      <c r="Z774" t="s">
        <v>30</v>
      </c>
      <c r="AA774" t="s">
        <v>30</v>
      </c>
    </row>
    <row r="775" spans="1:27" x14ac:dyDescent="0.3">
      <c r="A775" t="s">
        <v>2444</v>
      </c>
      <c r="B775" s="8">
        <v>46282.623217592591</v>
      </c>
      <c r="C775" t="s">
        <v>2</v>
      </c>
      <c r="D775" t="s">
        <v>59</v>
      </c>
      <c r="E775" t="s">
        <v>2447</v>
      </c>
      <c r="F775" t="s">
        <v>3947</v>
      </c>
      <c r="G775" t="s">
        <v>21</v>
      </c>
      <c r="H775" t="s">
        <v>2433</v>
      </c>
      <c r="I775" t="s">
        <v>2434</v>
      </c>
      <c r="J775" t="s">
        <v>2445</v>
      </c>
      <c r="K775" t="s">
        <v>2446</v>
      </c>
      <c r="L775">
        <v>131</v>
      </c>
      <c r="M775">
        <v>1179</v>
      </c>
      <c r="O775">
        <v>31.725417</v>
      </c>
      <c r="P775">
        <v>35.789749999999998</v>
      </c>
      <c r="Q775" t="s">
        <v>845</v>
      </c>
      <c r="S775" t="s">
        <v>2525</v>
      </c>
      <c r="U775" t="s">
        <v>3948</v>
      </c>
      <c r="V775" t="s">
        <v>55</v>
      </c>
      <c r="Y775" t="s">
        <v>30</v>
      </c>
      <c r="Z775" t="s">
        <v>30</v>
      </c>
      <c r="AA775" t="str">
        <f>IF(NOT("https://maps.app.goo.gl/WkaV4oQ8B8teN9ky7" = ""), HYPERLINK("https://maps.app.goo.gl/WkaV4oQ8B8teN9ky7", "موقع"), "")</f>
        <v>موقع</v>
      </c>
    </row>
    <row r="776" spans="1:27" x14ac:dyDescent="0.3">
      <c r="A776" t="s">
        <v>2448</v>
      </c>
      <c r="B776" s="8">
        <v>46282.623217592591</v>
      </c>
      <c r="C776" t="s">
        <v>2</v>
      </c>
      <c r="D776" t="s">
        <v>59</v>
      </c>
      <c r="E776" t="s">
        <v>2451</v>
      </c>
      <c r="F776" t="s">
        <v>3949</v>
      </c>
      <c r="G776" t="s">
        <v>21</v>
      </c>
      <c r="H776" t="s">
        <v>2433</v>
      </c>
      <c r="I776" t="s">
        <v>2434</v>
      </c>
      <c r="J776" t="s">
        <v>2449</v>
      </c>
      <c r="K776" t="s">
        <v>2450</v>
      </c>
      <c r="L776">
        <v>111</v>
      </c>
      <c r="M776">
        <v>322</v>
      </c>
      <c r="Q776" t="s">
        <v>1303</v>
      </c>
      <c r="S776" t="s">
        <v>2525</v>
      </c>
      <c r="V776" t="s">
        <v>43</v>
      </c>
      <c r="Y776" t="s">
        <v>30</v>
      </c>
      <c r="Z776" t="s">
        <v>30</v>
      </c>
      <c r="AA776" t="s">
        <v>30</v>
      </c>
    </row>
    <row r="777" spans="1:27" x14ac:dyDescent="0.3">
      <c r="A777" t="s">
        <v>2452</v>
      </c>
      <c r="B777" s="8">
        <v>46282.623217592591</v>
      </c>
      <c r="C777" t="s">
        <v>2</v>
      </c>
      <c r="D777" t="s">
        <v>59</v>
      </c>
      <c r="E777" t="s">
        <v>2455</v>
      </c>
      <c r="F777" t="s">
        <v>3211</v>
      </c>
      <c r="G777" t="s">
        <v>21</v>
      </c>
      <c r="H777" t="s">
        <v>2433</v>
      </c>
      <c r="I777" t="s">
        <v>2434</v>
      </c>
      <c r="J777" t="s">
        <v>2453</v>
      </c>
      <c r="K777" t="s">
        <v>2454</v>
      </c>
      <c r="L777">
        <v>-102</v>
      </c>
      <c r="M777">
        <v>745</v>
      </c>
      <c r="O777">
        <v>31.731916999999999</v>
      </c>
      <c r="P777">
        <v>35.803832999999997</v>
      </c>
      <c r="Q777" t="s">
        <v>1156</v>
      </c>
      <c r="S777" t="s">
        <v>2525</v>
      </c>
      <c r="U777" t="s">
        <v>3950</v>
      </c>
      <c r="V777" t="s">
        <v>2456</v>
      </c>
      <c r="Y777" t="s">
        <v>30</v>
      </c>
      <c r="Z777" t="s">
        <v>30</v>
      </c>
      <c r="AA777" t="str">
        <f>IF(NOT("https://maps.app.goo.gl/uSTNjhBtgKMBkfmf8" = ""), HYPERLINK("https://maps.app.goo.gl/uSTNjhBtgKMBkfmf8", "موقع"), "")</f>
        <v>موقع</v>
      </c>
    </row>
    <row r="778" spans="1:27" x14ac:dyDescent="0.3">
      <c r="A778" t="s">
        <v>2457</v>
      </c>
      <c r="B778" s="8">
        <v>46282.623217592591</v>
      </c>
      <c r="C778" t="s">
        <v>2</v>
      </c>
      <c r="D778" t="s">
        <v>315</v>
      </c>
      <c r="E778" t="s">
        <v>2447</v>
      </c>
      <c r="F778" t="s">
        <v>3951</v>
      </c>
      <c r="G778" t="s">
        <v>296</v>
      </c>
      <c r="H778" t="s">
        <v>2433</v>
      </c>
      <c r="I778" t="s">
        <v>2434</v>
      </c>
      <c r="J778" t="s">
        <v>2458</v>
      </c>
      <c r="K778" t="s">
        <v>2459</v>
      </c>
      <c r="L778">
        <v>0</v>
      </c>
      <c r="M778">
        <v>240</v>
      </c>
      <c r="N778">
        <v>116000</v>
      </c>
      <c r="O778">
        <v>31.716971999999998</v>
      </c>
      <c r="P778">
        <v>35.805083000000003</v>
      </c>
      <c r="Q778" t="s">
        <v>2460</v>
      </c>
      <c r="S778" t="s">
        <v>2525</v>
      </c>
      <c r="U778" t="s">
        <v>3952</v>
      </c>
      <c r="W778" t="s">
        <v>2461</v>
      </c>
      <c r="Y778" t="s">
        <v>30</v>
      </c>
      <c r="Z778" t="s">
        <v>30</v>
      </c>
      <c r="AA778" t="str">
        <f>IF(NOT("https://maps.app.goo.gl/zwdKSeXXDy4wGL3fA" = ""), HYPERLINK("https://maps.app.goo.gl/zwdKSeXXDy4wGL3fA", "موقع"), "")</f>
        <v>موقع</v>
      </c>
    </row>
    <row r="779" spans="1:27" x14ac:dyDescent="0.3">
      <c r="A779" t="s">
        <v>2462</v>
      </c>
      <c r="B779" s="8">
        <v>46282.623217592591</v>
      </c>
      <c r="C779" t="s">
        <v>2</v>
      </c>
      <c r="D779" t="s">
        <v>469</v>
      </c>
      <c r="E779" t="s">
        <v>2466</v>
      </c>
      <c r="F779" t="s">
        <v>3953</v>
      </c>
      <c r="G779" t="s">
        <v>468</v>
      </c>
      <c r="H779" t="s">
        <v>2433</v>
      </c>
      <c r="I779" t="s">
        <v>2463</v>
      </c>
      <c r="J779" t="s">
        <v>2464</v>
      </c>
      <c r="K779" t="s">
        <v>2465</v>
      </c>
      <c r="L779">
        <v>0</v>
      </c>
      <c r="M779">
        <v>129</v>
      </c>
      <c r="N779">
        <v>12000</v>
      </c>
      <c r="O779">
        <v>31.501389</v>
      </c>
      <c r="P779">
        <v>35.787388999999997</v>
      </c>
      <c r="Q779" t="s">
        <v>1912</v>
      </c>
      <c r="S779" t="s">
        <v>2525</v>
      </c>
      <c r="T779" t="s">
        <v>3954</v>
      </c>
      <c r="U779" t="s">
        <v>3955</v>
      </c>
      <c r="W779" t="s">
        <v>2467</v>
      </c>
      <c r="Y779" t="s">
        <v>30</v>
      </c>
      <c r="Z779" t="s">
        <v>30</v>
      </c>
      <c r="AA779" t="str">
        <f>IF(NOT("https://maps.app.goo.gl/kNG5M5KvurE2uci67" = ""), HYPERLINK("https://maps.app.goo.gl/kNG5M5KvurE2uci67", "موقع"), "")</f>
        <v>موقع</v>
      </c>
    </row>
    <row r="780" spans="1:27" x14ac:dyDescent="0.3">
      <c r="A780" t="s">
        <v>2468</v>
      </c>
      <c r="B780" s="8">
        <v>46282.623217592591</v>
      </c>
      <c r="C780" t="s">
        <v>2</v>
      </c>
      <c r="D780" t="s">
        <v>469</v>
      </c>
      <c r="E780" t="s">
        <v>2471</v>
      </c>
      <c r="F780" t="s">
        <v>3956</v>
      </c>
      <c r="G780" t="s">
        <v>468</v>
      </c>
      <c r="H780" t="s">
        <v>2433</v>
      </c>
      <c r="I780" t="s">
        <v>2463</v>
      </c>
      <c r="J780" t="s">
        <v>2469</v>
      </c>
      <c r="K780" t="s">
        <v>2470</v>
      </c>
      <c r="L780">
        <v>0</v>
      </c>
      <c r="M780">
        <v>114</v>
      </c>
      <c r="O780">
        <v>31.594583</v>
      </c>
      <c r="P780">
        <v>35.709417000000002</v>
      </c>
      <c r="Q780" t="s">
        <v>2472</v>
      </c>
      <c r="S780" t="s">
        <v>2525</v>
      </c>
      <c r="T780" t="s">
        <v>3957</v>
      </c>
      <c r="U780" t="s">
        <v>3958</v>
      </c>
      <c r="Y780" t="s">
        <v>30</v>
      </c>
      <c r="Z780" t="s">
        <v>30</v>
      </c>
      <c r="AA780" t="str">
        <f>IF(NOT("https://maps.app.goo.gl/CZYgBKwrHnVzw5zSA" = ""), HYPERLINK("https://maps.app.goo.gl/CZYgBKwrHnVzw5zSA", "موقع"), "")</f>
        <v>موقع</v>
      </c>
    </row>
    <row r="781" spans="1:27" x14ac:dyDescent="0.3">
      <c r="A781" t="s">
        <v>2473</v>
      </c>
      <c r="B781" s="8">
        <v>46282.623217592591</v>
      </c>
      <c r="C781" t="s">
        <v>2</v>
      </c>
      <c r="D781" t="s">
        <v>516</v>
      </c>
      <c r="E781" t="s">
        <v>2466</v>
      </c>
      <c r="F781" t="s">
        <v>3959</v>
      </c>
      <c r="G781" t="s">
        <v>468</v>
      </c>
      <c r="H781" t="s">
        <v>2433</v>
      </c>
      <c r="I781" t="s">
        <v>2463</v>
      </c>
      <c r="J781" t="s">
        <v>2474</v>
      </c>
      <c r="K781" t="s">
        <v>2475</v>
      </c>
      <c r="L781">
        <v>0</v>
      </c>
      <c r="M781">
        <v>27</v>
      </c>
      <c r="N781">
        <v>244000</v>
      </c>
      <c r="O781">
        <v>31.5015</v>
      </c>
      <c r="P781">
        <v>35.761527999999998</v>
      </c>
      <c r="Q781" t="s">
        <v>2476</v>
      </c>
      <c r="S781" t="s">
        <v>2525</v>
      </c>
      <c r="T781" t="s">
        <v>3960</v>
      </c>
      <c r="U781" t="s">
        <v>3961</v>
      </c>
      <c r="W781" t="s">
        <v>2477</v>
      </c>
      <c r="Y781" t="s">
        <v>30</v>
      </c>
      <c r="Z781" t="s">
        <v>30</v>
      </c>
      <c r="AA781" t="str">
        <f>IF(NOT("https://maps.app.goo.gl/xi3VCsRSXeZzB3a26" = ""), HYPERLINK("https://maps.app.goo.gl/xi3VCsRSXeZzB3a26", "موقع"), "")</f>
        <v>موقع</v>
      </c>
    </row>
    <row r="782" spans="1:27" x14ac:dyDescent="0.3">
      <c r="A782" t="s">
        <v>2478</v>
      </c>
      <c r="B782" s="8">
        <v>46282.623217592591</v>
      </c>
      <c r="C782" t="s">
        <v>2</v>
      </c>
      <c r="D782" t="s">
        <v>522</v>
      </c>
      <c r="E782" t="s">
        <v>2481</v>
      </c>
      <c r="F782" t="s">
        <v>3962</v>
      </c>
      <c r="G782" t="s">
        <v>296</v>
      </c>
      <c r="H782" t="s">
        <v>2433</v>
      </c>
      <c r="I782" t="s">
        <v>2434</v>
      </c>
      <c r="J782" t="s">
        <v>2479</v>
      </c>
      <c r="K782" t="s">
        <v>2480</v>
      </c>
      <c r="L782">
        <v>0</v>
      </c>
      <c r="M782">
        <v>702</v>
      </c>
      <c r="N782">
        <v>52000</v>
      </c>
      <c r="O782">
        <v>31.759167000000001</v>
      </c>
      <c r="P782">
        <v>35.794666999999997</v>
      </c>
      <c r="Q782" t="s">
        <v>2482</v>
      </c>
      <c r="S782" t="s">
        <v>2525</v>
      </c>
      <c r="U782" t="s">
        <v>3963</v>
      </c>
      <c r="W782" t="s">
        <v>2483</v>
      </c>
      <c r="Y782" t="s">
        <v>30</v>
      </c>
      <c r="Z782" t="s">
        <v>30</v>
      </c>
      <c r="AA782" t="str">
        <f>IF(NOT("https://maps.app.goo.gl/53XE135Wgb8fsd6x9" = ""), HYPERLINK("https://maps.app.goo.gl/53XE135Wgb8fsd6x9", "موقع"), "")</f>
        <v>موقع</v>
      </c>
    </row>
    <row r="783" spans="1:27" x14ac:dyDescent="0.3">
      <c r="A783" t="s">
        <v>2484</v>
      </c>
      <c r="B783" s="8">
        <v>46282.623217592591</v>
      </c>
      <c r="C783" t="s">
        <v>2</v>
      </c>
      <c r="D783" t="s">
        <v>315</v>
      </c>
      <c r="E783" t="s">
        <v>2489</v>
      </c>
      <c r="F783" t="s">
        <v>3964</v>
      </c>
      <c r="G783" t="s">
        <v>296</v>
      </c>
      <c r="H783" t="s">
        <v>2485</v>
      </c>
      <c r="I783" t="s">
        <v>2486</v>
      </c>
      <c r="J783" t="s">
        <v>2487</v>
      </c>
      <c r="K783" t="s">
        <v>2488</v>
      </c>
      <c r="L783">
        <v>0</v>
      </c>
      <c r="M783">
        <v>711</v>
      </c>
      <c r="O783">
        <v>30.186861</v>
      </c>
      <c r="P783">
        <v>35.737056000000003</v>
      </c>
      <c r="Q783" t="s">
        <v>2490</v>
      </c>
      <c r="S783" t="s">
        <v>2525</v>
      </c>
      <c r="U783" t="s">
        <v>3965</v>
      </c>
      <c r="Y783" t="s">
        <v>30</v>
      </c>
      <c r="Z783" t="s">
        <v>30</v>
      </c>
      <c r="AA783" t="str">
        <f>IF(NOT("https://maps.app.goo.gl/i67PPSE8r7qeyVqU6" = ""), HYPERLINK("https://maps.app.goo.gl/i67PPSE8r7qeyVqU6", "موقع"), "")</f>
        <v>موقع</v>
      </c>
    </row>
    <row r="784" spans="1:27" x14ac:dyDescent="0.3">
      <c r="A784" t="s">
        <v>2491</v>
      </c>
      <c r="B784" s="8">
        <v>46282.623217592591</v>
      </c>
      <c r="C784" t="s">
        <v>2</v>
      </c>
      <c r="D784" t="s">
        <v>469</v>
      </c>
      <c r="E784" t="s">
        <v>345</v>
      </c>
      <c r="F784" t="s">
        <v>3966</v>
      </c>
      <c r="G784" t="s">
        <v>468</v>
      </c>
      <c r="H784" t="s">
        <v>2485</v>
      </c>
      <c r="I784" t="s">
        <v>2486</v>
      </c>
      <c r="J784" t="s">
        <v>2492</v>
      </c>
      <c r="K784" t="s">
        <v>2493</v>
      </c>
      <c r="L784">
        <v>0</v>
      </c>
      <c r="M784">
        <v>91</v>
      </c>
      <c r="N784">
        <v>2000</v>
      </c>
      <c r="O784">
        <v>30.058250000000001</v>
      </c>
      <c r="P784">
        <v>35.486389000000003</v>
      </c>
      <c r="Q784" t="s">
        <v>2494</v>
      </c>
      <c r="S784" t="s">
        <v>2525</v>
      </c>
      <c r="T784" t="s">
        <v>3967</v>
      </c>
      <c r="U784" t="s">
        <v>3968</v>
      </c>
      <c r="W784" t="s">
        <v>2495</v>
      </c>
      <c r="Y784" t="s">
        <v>30</v>
      </c>
      <c r="Z784" t="s">
        <v>30</v>
      </c>
      <c r="AA784" t="str">
        <f>IF(NOT("https://maps.app.goo.gl/7bvp2wEWFm1ad4B98" = ""), HYPERLINK("https://maps.app.goo.gl/7bvp2wEWFm1ad4B98", "موقع"), "")</f>
        <v>موقع</v>
      </c>
    </row>
  </sheetData>
  <mergeCells count="1">
    <mergeCell ref="A1:AA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DataToCoppy</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Rawaa Ashoor</dc:creator>
  <cp:lastModifiedBy>Ahmad J.H. Alsamhouri</cp:lastModifiedBy>
  <cp:lastPrinted>2026-09-17T12:36:43Z</cp:lastPrinted>
  <dcterms:created xsi:type="dcterms:W3CDTF">2024-01-03T07:15:02Z</dcterms:created>
  <dcterms:modified xsi:type="dcterms:W3CDTF">2026-09-17T12:58:00Z</dcterms:modified>
</cp:coreProperties>
</file>