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e2274\Desktop\"/>
    </mc:Choice>
  </mc:AlternateContent>
  <xr:revisionPtr revIDLastSave="0" documentId="13_ncr:1_{0FECFC7C-60A1-4408-AF47-A714FF86FB23}" xr6:coauthVersionLast="47" xr6:coauthVersionMax="47" xr10:uidLastSave="{00000000-0000-0000-0000-000000000000}"/>
  <bookViews>
    <workbookView xWindow="-108" yWindow="-108" windowWidth="23256" windowHeight="12456" xr2:uid="{00000000-000D-0000-FFFF-FFFF00000000}"/>
  </bookViews>
  <sheets>
    <sheet name="Sheet1" sheetId="4" r:id="rId1"/>
    <sheet name="DataToCoppy" sheetId="5" state="hidden" r:id="rId2"/>
  </sheets>
  <definedNames>
    <definedName name="_xlnm._FilterDatabase" localSheetId="0" hidden="1">Sheet1!$A$2:$Q$441</definedName>
    <definedName name="_xlnm.Print_Area" localSheetId="0">Sheet1!$A$1:$R$441</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6" i="4" l="1"/>
  <c r="M368" i="4"/>
  <c r="M314" i="4"/>
  <c r="M304" i="4"/>
  <c r="M277" i="4"/>
  <c r="M271" i="4"/>
  <c r="M262" i="4"/>
  <c r="M254" i="4"/>
  <c r="M111" i="4"/>
  <c r="M110" i="4"/>
  <c r="M109" i="4"/>
  <c r="M92" i="4"/>
  <c r="M89" i="4"/>
  <c r="M68" i="4"/>
  <c r="O441" i="4"/>
  <c r="O438" i="4"/>
  <c r="O436" i="4"/>
  <c r="O435" i="4"/>
  <c r="O437" i="4"/>
  <c r="O440" i="4"/>
  <c r="O433" i="4"/>
  <c r="O434" i="4"/>
  <c r="O427" i="4"/>
  <c r="O430" i="4"/>
  <c r="O428" i="4"/>
  <c r="O426" i="4"/>
  <c r="O413" i="4"/>
  <c r="O407" i="4"/>
  <c r="O424" i="4"/>
  <c r="O422" i="4"/>
  <c r="O421" i="4"/>
  <c r="O419" i="4"/>
  <c r="O418" i="4"/>
  <c r="O416" i="4"/>
  <c r="O402" i="4"/>
  <c r="O401" i="4"/>
  <c r="O400" i="4"/>
  <c r="O388" i="4"/>
  <c r="O398" i="4"/>
  <c r="O397" i="4"/>
  <c r="O396" i="4"/>
  <c r="O393" i="4"/>
  <c r="O391" i="4"/>
  <c r="O390" i="4"/>
  <c r="O404" i="4"/>
  <c r="O385" i="4"/>
  <c r="O384" i="4"/>
  <c r="O382" i="4"/>
  <c r="O381" i="4"/>
  <c r="O377" i="4"/>
  <c r="O219" i="4"/>
  <c r="O217" i="4"/>
  <c r="O216" i="4"/>
  <c r="O214" i="4"/>
  <c r="O203" i="4"/>
  <c r="O201" i="4"/>
  <c r="O198" i="4"/>
  <c r="O197" i="4"/>
  <c r="O196" i="4"/>
  <c r="O194" i="4"/>
  <c r="O193" i="4"/>
  <c r="O246" i="4"/>
  <c r="O245" i="4"/>
  <c r="O244" i="4"/>
  <c r="O242" i="4"/>
  <c r="O241" i="4"/>
  <c r="O240" i="4"/>
  <c r="O239" i="4"/>
  <c r="O237" i="4"/>
  <c r="O235" i="4"/>
  <c r="O234" i="4"/>
  <c r="O376" i="4"/>
  <c r="O373" i="4"/>
  <c r="O371" i="4"/>
  <c r="O370" i="4"/>
  <c r="O368" i="4"/>
  <c r="O366" i="4"/>
  <c r="O365" i="4"/>
  <c r="O364" i="4"/>
  <c r="O363" i="4"/>
  <c r="O361" i="4"/>
  <c r="O360" i="4"/>
  <c r="O357" i="4"/>
  <c r="O356" i="4"/>
  <c r="O355" i="4"/>
  <c r="O353" i="4"/>
  <c r="O351" i="4"/>
  <c r="O349" i="4"/>
  <c r="O348" i="4"/>
  <c r="O347" i="4"/>
  <c r="O346" i="4"/>
  <c r="O345" i="4"/>
  <c r="O343" i="4"/>
  <c r="O341" i="4"/>
  <c r="O340" i="4"/>
  <c r="O339" i="4"/>
  <c r="O337" i="4"/>
  <c r="O335" i="4"/>
  <c r="O330" i="4"/>
  <c r="O329" i="4"/>
  <c r="O327" i="4"/>
  <c r="O324" i="4"/>
  <c r="O323" i="4"/>
  <c r="O322" i="4"/>
  <c r="O320" i="4"/>
  <c r="O318" i="4"/>
  <c r="O317" i="4"/>
  <c r="O316" i="4"/>
  <c r="O315" i="4"/>
  <c r="O314" i="4"/>
  <c r="O313" i="4"/>
  <c r="O312" i="4"/>
  <c r="O311" i="4"/>
  <c r="O310" i="4"/>
  <c r="O309" i="4"/>
  <c r="O307" i="4"/>
  <c r="O306" i="4"/>
  <c r="O305" i="4"/>
  <c r="O304" i="4"/>
  <c r="O303" i="4"/>
  <c r="O302" i="4"/>
  <c r="O300" i="4"/>
  <c r="O299" i="4"/>
  <c r="O297" i="4"/>
  <c r="O296" i="4"/>
  <c r="O295" i="4"/>
  <c r="O294" i="4"/>
  <c r="O293" i="4"/>
  <c r="O291" i="4"/>
  <c r="O290" i="4"/>
  <c r="O288" i="4"/>
  <c r="O287" i="4"/>
  <c r="O286" i="4"/>
  <c r="O284" i="4"/>
  <c r="O283" i="4"/>
  <c r="O282" i="4"/>
  <c r="O279" i="4"/>
  <c r="O278" i="4"/>
  <c r="O277" i="4"/>
  <c r="O275" i="4"/>
  <c r="O274" i="4"/>
  <c r="O273" i="4"/>
  <c r="O272" i="4"/>
  <c r="O271" i="4"/>
  <c r="O270" i="4"/>
  <c r="O268" i="4"/>
  <c r="O266" i="4"/>
  <c r="O265" i="4"/>
  <c r="O263" i="4"/>
  <c r="O262" i="4"/>
  <c r="O261" i="4"/>
  <c r="O259" i="4"/>
  <c r="O258" i="4"/>
  <c r="O254" i="4"/>
  <c r="O253" i="4"/>
  <c r="O252" i="4"/>
  <c r="O251" i="4"/>
  <c r="O250" i="4"/>
  <c r="O249" i="4"/>
  <c r="O248" i="4"/>
  <c r="O247" i="4"/>
  <c r="O184" i="4"/>
  <c r="O183" i="4"/>
  <c r="O182" i="4"/>
  <c r="O181" i="4"/>
  <c r="O180" i="4"/>
  <c r="O179" i="4"/>
  <c r="O177" i="4"/>
  <c r="O187" i="4"/>
  <c r="O186" i="4"/>
  <c r="O185" i="4"/>
  <c r="O192" i="4"/>
  <c r="O191" i="4"/>
  <c r="O190" i="4"/>
  <c r="O189" i="4"/>
  <c r="O188" i="4"/>
  <c r="O145" i="4"/>
  <c r="O144" i="4"/>
  <c r="O123" i="4"/>
  <c r="O122" i="4"/>
  <c r="O121" i="4"/>
  <c r="O119" i="4"/>
  <c r="O118" i="4"/>
  <c r="O116" i="4"/>
  <c r="O143" i="4"/>
  <c r="O142" i="4"/>
  <c r="O141" i="4"/>
  <c r="O140" i="4"/>
  <c r="O139" i="4"/>
  <c r="O138" i="4"/>
  <c r="O136" i="4"/>
  <c r="O134" i="4"/>
  <c r="O133" i="4"/>
  <c r="O132" i="4"/>
  <c r="O130" i="4"/>
  <c r="O128" i="4"/>
  <c r="O126" i="4"/>
  <c r="O125" i="4"/>
  <c r="O176" i="4"/>
  <c r="O175" i="4"/>
  <c r="O174" i="4"/>
  <c r="O172" i="4"/>
  <c r="O171" i="4"/>
  <c r="O169" i="4"/>
  <c r="O167" i="4"/>
  <c r="O164" i="4"/>
  <c r="O163" i="4"/>
  <c r="O161" i="4"/>
  <c r="O160" i="4"/>
  <c r="O159" i="4"/>
  <c r="O157" i="4"/>
  <c r="O156" i="4"/>
  <c r="O155" i="4"/>
  <c r="O154" i="4"/>
  <c r="O153" i="4"/>
  <c r="O152" i="4"/>
  <c r="O151" i="4"/>
  <c r="O150" i="4"/>
  <c r="O149" i="4"/>
  <c r="O148" i="4"/>
  <c r="O147" i="4"/>
  <c r="O146" i="4"/>
  <c r="O99" i="4"/>
  <c r="O98" i="4"/>
  <c r="O97" i="4"/>
  <c r="O96" i="4"/>
  <c r="O95" i="4"/>
  <c r="O94" i="4"/>
  <c r="O93" i="4"/>
  <c r="O108" i="4"/>
  <c r="O107" i="4"/>
  <c r="O105" i="4"/>
  <c r="O102" i="4"/>
  <c r="O101" i="4"/>
  <c r="O100" i="4"/>
  <c r="O115" i="4"/>
  <c r="O113" i="4"/>
  <c r="O112" i="4"/>
  <c r="O111" i="4"/>
  <c r="O110" i="4"/>
  <c r="O109" i="4"/>
  <c r="O38" i="4"/>
  <c r="O37" i="4"/>
  <c r="O36" i="4"/>
  <c r="O8" i="4"/>
  <c r="O7" i="4"/>
  <c r="O6" i="4"/>
  <c r="O5" i="4"/>
  <c r="O4" i="4"/>
  <c r="O3" i="4"/>
  <c r="O35" i="4"/>
  <c r="O34" i="4"/>
  <c r="O33" i="4"/>
  <c r="O32" i="4"/>
  <c r="O31" i="4"/>
  <c r="O29" i="4"/>
  <c r="O28" i="4"/>
  <c r="O27" i="4"/>
  <c r="O26" i="4"/>
  <c r="O25" i="4"/>
  <c r="O24" i="4"/>
  <c r="O22" i="4"/>
  <c r="O21" i="4"/>
  <c r="O20" i="4"/>
  <c r="O17" i="4"/>
  <c r="O16" i="4"/>
  <c r="O14" i="4"/>
  <c r="O12" i="4"/>
  <c r="O10" i="4"/>
  <c r="O9" i="4"/>
  <c r="O92" i="4"/>
  <c r="O91" i="4"/>
  <c r="O90" i="4"/>
  <c r="O89" i="4"/>
  <c r="O87" i="4"/>
  <c r="O86" i="4"/>
  <c r="O85" i="4"/>
  <c r="O84" i="4"/>
  <c r="O83" i="4"/>
  <c r="O82" i="4"/>
  <c r="O81" i="4"/>
  <c r="O79" i="4"/>
  <c r="O78" i="4"/>
  <c r="O77" i="4"/>
  <c r="O76" i="4"/>
  <c r="O75" i="4"/>
  <c r="O73" i="4"/>
  <c r="O71" i="4"/>
  <c r="O69" i="4"/>
  <c r="O68" i="4"/>
  <c r="O67" i="4"/>
  <c r="O65" i="4"/>
  <c r="O64" i="4"/>
  <c r="O63" i="4"/>
  <c r="O60" i="4"/>
  <c r="O58" i="4"/>
  <c r="O57" i="4"/>
  <c r="O56" i="4"/>
  <c r="O54" i="4"/>
  <c r="O53" i="4"/>
  <c r="O52" i="4"/>
  <c r="O48" i="4"/>
  <c r="O47" i="4"/>
  <c r="O46" i="4"/>
  <c r="O45" i="4"/>
  <c r="O44" i="4"/>
  <c r="O43" i="4"/>
  <c r="O42" i="4"/>
  <c r="O41" i="4"/>
  <c r="O40" i="4"/>
  <c r="O39" i="4"/>
  <c r="N427" i="4"/>
  <c r="N377" i="4"/>
  <c r="N239" i="4"/>
  <c r="N234" i="4"/>
  <c r="N376" i="4"/>
  <c r="N373" i="4"/>
  <c r="N372" i="4"/>
  <c r="N370" i="4"/>
  <c r="N368" i="4"/>
  <c r="N366" i="4"/>
  <c r="N365" i="4"/>
  <c r="N364" i="4"/>
  <c r="N360" i="4"/>
  <c r="N348" i="4"/>
  <c r="N345" i="4"/>
  <c r="N341" i="4"/>
  <c r="N340" i="4"/>
  <c r="N339" i="4"/>
  <c r="N332" i="4"/>
  <c r="N322" i="4"/>
  <c r="N320" i="4"/>
  <c r="N316" i="4"/>
  <c r="N315" i="4"/>
  <c r="N314" i="4"/>
  <c r="N310" i="4"/>
  <c r="N309" i="4"/>
  <c r="N307" i="4"/>
  <c r="N306" i="4"/>
  <c r="N305" i="4"/>
  <c r="N304" i="4"/>
  <c r="N299" i="4"/>
  <c r="N296" i="4"/>
  <c r="N295" i="4"/>
  <c r="N294" i="4"/>
  <c r="N293" i="4"/>
  <c r="N291" i="4"/>
  <c r="N290" i="4"/>
  <c r="N283" i="4"/>
  <c r="N278" i="4"/>
  <c r="N277" i="4"/>
  <c r="N274" i="4"/>
  <c r="N271" i="4"/>
  <c r="N268" i="4"/>
  <c r="N267" i="4"/>
  <c r="N262" i="4"/>
  <c r="N261" i="4"/>
  <c r="N254" i="4"/>
  <c r="N139" i="4"/>
  <c r="N135" i="4"/>
  <c r="N164" i="4"/>
  <c r="N98" i="4"/>
  <c r="N95" i="4"/>
  <c r="N94" i="4"/>
  <c r="N93" i="4"/>
  <c r="N108" i="4"/>
  <c r="N115" i="4"/>
  <c r="N113" i="4"/>
  <c r="N112" i="4"/>
  <c r="N111" i="4"/>
  <c r="N110" i="4"/>
  <c r="N109" i="4"/>
  <c r="N7" i="4"/>
  <c r="N35" i="4"/>
  <c r="N33" i="4"/>
  <c r="N92" i="4"/>
  <c r="N89" i="4"/>
  <c r="N88" i="4"/>
  <c r="N83" i="4"/>
  <c r="N73" i="4"/>
  <c r="N68" i="4"/>
  <c r="AA441" i="5"/>
  <c r="Z441" i="5"/>
  <c r="Y441" i="5"/>
  <c r="AA440" i="5"/>
  <c r="Z440" i="5"/>
  <c r="Y440" i="5"/>
  <c r="AA439" i="5"/>
  <c r="Z439" i="5"/>
  <c r="Y439" i="5"/>
  <c r="AA438" i="5"/>
  <c r="Z438" i="5"/>
  <c r="Y438" i="5"/>
  <c r="AA437" i="5"/>
  <c r="Z437" i="5"/>
  <c r="Y437" i="5"/>
  <c r="AA436" i="5"/>
  <c r="Z436" i="5"/>
  <c r="Y436" i="5"/>
  <c r="AA435" i="5"/>
  <c r="Z435" i="5"/>
  <c r="Y435" i="5"/>
  <c r="AA434" i="5"/>
  <c r="Z434" i="5"/>
  <c r="Y434" i="5"/>
  <c r="AA433" i="5"/>
  <c r="Z433" i="5"/>
  <c r="Y433" i="5"/>
  <c r="AA432" i="5"/>
  <c r="Z432" i="5"/>
  <c r="Y432" i="5"/>
  <c r="AA431" i="5"/>
  <c r="Z431" i="5"/>
  <c r="Y431" i="5"/>
  <c r="AA430" i="5"/>
  <c r="Z430" i="5"/>
  <c r="Y430" i="5"/>
  <c r="AA429" i="5"/>
  <c r="Z429" i="5"/>
  <c r="Y429" i="5"/>
  <c r="AA428" i="5"/>
  <c r="Z428" i="5"/>
  <c r="Y428" i="5"/>
  <c r="AA427" i="5"/>
  <c r="Z427" i="5"/>
  <c r="Y427" i="5"/>
  <c r="AA426" i="5"/>
  <c r="Z426" i="5"/>
  <c r="Y426" i="5"/>
  <c r="AA425" i="5"/>
  <c r="Z425" i="5"/>
  <c r="Y425" i="5"/>
  <c r="AA424" i="5"/>
  <c r="Z424" i="5"/>
  <c r="Y424" i="5"/>
  <c r="AA423" i="5"/>
  <c r="Z423" i="5"/>
  <c r="Y423" i="5"/>
  <c r="AA422" i="5"/>
  <c r="Z422" i="5"/>
  <c r="Y422" i="5"/>
  <c r="AA421" i="5"/>
  <c r="Z421" i="5"/>
  <c r="Y421" i="5"/>
  <c r="AA420" i="5"/>
  <c r="Z420" i="5"/>
  <c r="Y420" i="5"/>
  <c r="AA419" i="5"/>
  <c r="Z419" i="5"/>
  <c r="Y419" i="5"/>
  <c r="AA418" i="5"/>
  <c r="Z418" i="5"/>
  <c r="Y418" i="5"/>
  <c r="AA417" i="5"/>
  <c r="Z417" i="5"/>
  <c r="Y417" i="5"/>
  <c r="AA416" i="5"/>
  <c r="Z416" i="5"/>
  <c r="Y416" i="5"/>
  <c r="AA415" i="5"/>
  <c r="Z415" i="5"/>
  <c r="Y415" i="5"/>
  <c r="AA414" i="5"/>
  <c r="Z414" i="5"/>
  <c r="Y414" i="5"/>
  <c r="AA413" i="5"/>
  <c r="Z413" i="5"/>
  <c r="Y413" i="5"/>
  <c r="AA412" i="5"/>
  <c r="Z412" i="5"/>
  <c r="Y412" i="5"/>
  <c r="AA411" i="5"/>
  <c r="Z411" i="5"/>
  <c r="Y411" i="5"/>
  <c r="AA410" i="5"/>
  <c r="Z410" i="5"/>
  <c r="Y410" i="5"/>
  <c r="AA409" i="5"/>
  <c r="Z409" i="5"/>
  <c r="Y409" i="5"/>
  <c r="AA408" i="5"/>
  <c r="Z408" i="5"/>
  <c r="Y408" i="5"/>
  <c r="AA407" i="5"/>
  <c r="Z407" i="5"/>
  <c r="Y407" i="5"/>
  <c r="AA406" i="5"/>
  <c r="Z406" i="5"/>
  <c r="Y406" i="5"/>
  <c r="AA405" i="5"/>
  <c r="Z405" i="5"/>
  <c r="Y405" i="5"/>
  <c r="AA404" i="5"/>
  <c r="Z404" i="5"/>
  <c r="Y404" i="5"/>
  <c r="AA403" i="5"/>
  <c r="Z403" i="5"/>
  <c r="Y403" i="5"/>
  <c r="AA402" i="5"/>
  <c r="Z402" i="5"/>
  <c r="Y402" i="5"/>
  <c r="AA401" i="5"/>
  <c r="Z401" i="5"/>
  <c r="Y401" i="5"/>
  <c r="AA400" i="5"/>
  <c r="Z400" i="5"/>
  <c r="Y400" i="5"/>
  <c r="AA399" i="5"/>
  <c r="Z399" i="5"/>
  <c r="Y399" i="5"/>
  <c r="AA398" i="5"/>
  <c r="Z398" i="5"/>
  <c r="Y398" i="5"/>
  <c r="AA397" i="5"/>
  <c r="Z397" i="5"/>
  <c r="Y397" i="5"/>
  <c r="AA396" i="5"/>
  <c r="Z396" i="5"/>
  <c r="Y396" i="5"/>
  <c r="AA395" i="5"/>
  <c r="Z395" i="5"/>
  <c r="Y395" i="5"/>
  <c r="AA394" i="5"/>
  <c r="Z394" i="5"/>
  <c r="Y394" i="5"/>
  <c r="AA393" i="5"/>
  <c r="Z393" i="5"/>
  <c r="Y393" i="5"/>
  <c r="AA392" i="5"/>
  <c r="Z392" i="5"/>
  <c r="Y392" i="5"/>
  <c r="AA391" i="5"/>
  <c r="Z391" i="5"/>
  <c r="Y391" i="5"/>
  <c r="AA390" i="5"/>
  <c r="Z390" i="5"/>
  <c r="Y390" i="5"/>
  <c r="AA389" i="5"/>
  <c r="Z389" i="5"/>
  <c r="Y389" i="5"/>
  <c r="AA388" i="5"/>
  <c r="Z388" i="5"/>
  <c r="Y388" i="5"/>
  <c r="AA387" i="5"/>
  <c r="Z387" i="5"/>
  <c r="Y387" i="5"/>
  <c r="AA386" i="5"/>
  <c r="Z386" i="5"/>
  <c r="Y386" i="5"/>
  <c r="AA385" i="5"/>
  <c r="Z385" i="5"/>
  <c r="Y385" i="5"/>
  <c r="AA384" i="5"/>
  <c r="Z384" i="5"/>
  <c r="Y384" i="5"/>
  <c r="AA383" i="5"/>
  <c r="Z383" i="5"/>
  <c r="Y383" i="5"/>
  <c r="AA382" i="5"/>
  <c r="Z382" i="5"/>
  <c r="Y382" i="5"/>
  <c r="AA381" i="5"/>
  <c r="Z381" i="5"/>
  <c r="Y381" i="5"/>
  <c r="AA380" i="5"/>
  <c r="Z380" i="5"/>
  <c r="Y380" i="5"/>
  <c r="AA379" i="5"/>
  <c r="Z379" i="5"/>
  <c r="Y379" i="5"/>
  <c r="AA378" i="5"/>
  <c r="Z378" i="5"/>
  <c r="Y378" i="5"/>
  <c r="AA377" i="5"/>
  <c r="Z377" i="5"/>
  <c r="Y377" i="5"/>
  <c r="AA376" i="5"/>
  <c r="Z376" i="5"/>
  <c r="Y376" i="5"/>
  <c r="AA375" i="5"/>
  <c r="Z375" i="5"/>
  <c r="Y375" i="5"/>
  <c r="AA374" i="5"/>
  <c r="Z374" i="5"/>
  <c r="Y374" i="5"/>
  <c r="AA373" i="5"/>
  <c r="Z373" i="5"/>
  <c r="Y373" i="5"/>
  <c r="AA372" i="5"/>
  <c r="Z372" i="5"/>
  <c r="Y372" i="5"/>
  <c r="AA371" i="5"/>
  <c r="Z371" i="5"/>
  <c r="Y371" i="5"/>
  <c r="AA370" i="5"/>
  <c r="Z370" i="5"/>
  <c r="Y370" i="5"/>
  <c r="AA369" i="5"/>
  <c r="Z369" i="5"/>
  <c r="Y369" i="5"/>
  <c r="AA368" i="5"/>
  <c r="Z368" i="5"/>
  <c r="Y368" i="5"/>
  <c r="AA367" i="5"/>
  <c r="Z367" i="5"/>
  <c r="Y367" i="5"/>
  <c r="AA366" i="5"/>
  <c r="Z366" i="5"/>
  <c r="Y366" i="5"/>
  <c r="AA365" i="5"/>
  <c r="Z365" i="5"/>
  <c r="Y365" i="5"/>
  <c r="AA364" i="5"/>
  <c r="Z364" i="5"/>
  <c r="Y364" i="5"/>
  <c r="AA363" i="5"/>
  <c r="Z363" i="5"/>
  <c r="Y363" i="5"/>
  <c r="AA362" i="5"/>
  <c r="Z362" i="5"/>
  <c r="Y362" i="5"/>
  <c r="AA361" i="5"/>
  <c r="Z361" i="5"/>
  <c r="Y361" i="5"/>
  <c r="AA360" i="5"/>
  <c r="Z360" i="5"/>
  <c r="Y360" i="5"/>
  <c r="AA359" i="5"/>
  <c r="Z359" i="5"/>
  <c r="Y359" i="5"/>
  <c r="AA358" i="5"/>
  <c r="Z358" i="5"/>
  <c r="Y358" i="5"/>
  <c r="AA357" i="5"/>
  <c r="Z357" i="5"/>
  <c r="Y357" i="5"/>
  <c r="AA356" i="5"/>
  <c r="Z356" i="5"/>
  <c r="Y356" i="5"/>
  <c r="AA355" i="5"/>
  <c r="Z355" i="5"/>
  <c r="Y355" i="5"/>
  <c r="AA354" i="5"/>
  <c r="Z354" i="5"/>
  <c r="Y354" i="5"/>
  <c r="AA353" i="5"/>
  <c r="Z353" i="5"/>
  <c r="Y353" i="5"/>
  <c r="AA352" i="5"/>
  <c r="Z352" i="5"/>
  <c r="Y352" i="5"/>
  <c r="AA351" i="5"/>
  <c r="Z351" i="5"/>
  <c r="Y351" i="5"/>
  <c r="AA350" i="5"/>
  <c r="Z350" i="5"/>
  <c r="Y350" i="5"/>
  <c r="AA349" i="5"/>
  <c r="Z349" i="5"/>
  <c r="Y349" i="5"/>
  <c r="AA348" i="5"/>
  <c r="Z348" i="5"/>
  <c r="Y348" i="5"/>
  <c r="AA347" i="5"/>
  <c r="Z347" i="5"/>
  <c r="Y347" i="5"/>
  <c r="AA346" i="5"/>
  <c r="Z346" i="5"/>
  <c r="Y346" i="5"/>
  <c r="AA345" i="5"/>
  <c r="Z345" i="5"/>
  <c r="Y345" i="5"/>
  <c r="AA344" i="5"/>
  <c r="Z344" i="5"/>
  <c r="Y344" i="5"/>
  <c r="AA343" i="5"/>
  <c r="Z343" i="5"/>
  <c r="Y343" i="5"/>
  <c r="AA342" i="5"/>
  <c r="Z342" i="5"/>
  <c r="Y342" i="5"/>
  <c r="AA341" i="5"/>
  <c r="Z341" i="5"/>
  <c r="Y341" i="5"/>
  <c r="AA340" i="5"/>
  <c r="Z340" i="5"/>
  <c r="Y340" i="5"/>
  <c r="AA339" i="5"/>
  <c r="Z339" i="5"/>
  <c r="Y339" i="5"/>
  <c r="AA338" i="5"/>
  <c r="Z338" i="5"/>
  <c r="Y338" i="5"/>
  <c r="AA337" i="5"/>
  <c r="Z337" i="5"/>
  <c r="Y337" i="5"/>
  <c r="AA336" i="5"/>
  <c r="Z336" i="5"/>
  <c r="Y336" i="5"/>
  <c r="AA335" i="5"/>
  <c r="Z335" i="5"/>
  <c r="Y335" i="5"/>
  <c r="AA334" i="5"/>
  <c r="Z334" i="5"/>
  <c r="Y334" i="5"/>
  <c r="AA333" i="5"/>
  <c r="Z333" i="5"/>
  <c r="Y333" i="5"/>
  <c r="AA332" i="5"/>
  <c r="Z332" i="5"/>
  <c r="Y332" i="5"/>
  <c r="AA331" i="5"/>
  <c r="Z331" i="5"/>
  <c r="Y331" i="5"/>
  <c r="AA330" i="5"/>
  <c r="Z330" i="5"/>
  <c r="Y330" i="5"/>
  <c r="AA329" i="5"/>
  <c r="Z329" i="5"/>
  <c r="Y329" i="5"/>
  <c r="AA328" i="5"/>
  <c r="Z328" i="5"/>
  <c r="Y328" i="5"/>
  <c r="AA327" i="5"/>
  <c r="Z327" i="5"/>
  <c r="Y327" i="5"/>
  <c r="AA326" i="5"/>
  <c r="Z326" i="5"/>
  <c r="Y326" i="5"/>
  <c r="AA325" i="5"/>
  <c r="Z325" i="5"/>
  <c r="Y325" i="5"/>
  <c r="AA324" i="5"/>
  <c r="Z324" i="5"/>
  <c r="Y324" i="5"/>
  <c r="AA323" i="5"/>
  <c r="Z323" i="5"/>
  <c r="Y323" i="5"/>
  <c r="AA322" i="5"/>
  <c r="Z322" i="5"/>
  <c r="Y322" i="5"/>
  <c r="AA321" i="5"/>
  <c r="Z321" i="5"/>
  <c r="Y321" i="5"/>
  <c r="AA320" i="5"/>
  <c r="Z320" i="5"/>
  <c r="Y320" i="5"/>
  <c r="AA319" i="5"/>
  <c r="Z319" i="5"/>
  <c r="Y319" i="5"/>
  <c r="AA318" i="5"/>
  <c r="Z318" i="5"/>
  <c r="Y318" i="5"/>
  <c r="AA317" i="5"/>
  <c r="Z317" i="5"/>
  <c r="Y317" i="5"/>
  <c r="AA316" i="5"/>
  <c r="Z316" i="5"/>
  <c r="Y316" i="5"/>
  <c r="AA315" i="5"/>
  <c r="Z315" i="5"/>
  <c r="Y315" i="5"/>
  <c r="AA314" i="5"/>
  <c r="Z314" i="5"/>
  <c r="Y314" i="5"/>
  <c r="AA313" i="5"/>
  <c r="Z313" i="5"/>
  <c r="Y313" i="5"/>
  <c r="AA312" i="5"/>
  <c r="Z312" i="5"/>
  <c r="Y312" i="5"/>
  <c r="AA311" i="5"/>
  <c r="Z311" i="5"/>
  <c r="Y311" i="5"/>
  <c r="AA310" i="5"/>
  <c r="Z310" i="5"/>
  <c r="Y310" i="5"/>
  <c r="AA309" i="5"/>
  <c r="Z309" i="5"/>
  <c r="Y309" i="5"/>
  <c r="AA308" i="5"/>
  <c r="Z308" i="5"/>
  <c r="Y308" i="5"/>
  <c r="AA307" i="5"/>
  <c r="Z307" i="5"/>
  <c r="Y307" i="5"/>
  <c r="AA306" i="5"/>
  <c r="Z306" i="5"/>
  <c r="Y306" i="5"/>
  <c r="AA305" i="5"/>
  <c r="Z305" i="5"/>
  <c r="Y305" i="5"/>
  <c r="AA304" i="5"/>
  <c r="Z304" i="5"/>
  <c r="Y304" i="5"/>
  <c r="AA303" i="5"/>
  <c r="Z303" i="5"/>
  <c r="Y303" i="5"/>
  <c r="AA302" i="5"/>
  <c r="Z302" i="5"/>
  <c r="Y302" i="5"/>
  <c r="AA301" i="5"/>
  <c r="Z301" i="5"/>
  <c r="Y301" i="5"/>
  <c r="AA300" i="5"/>
  <c r="Z300" i="5"/>
  <c r="Y300" i="5"/>
  <c r="AA299" i="5"/>
  <c r="Z299" i="5"/>
  <c r="Y299" i="5"/>
  <c r="AA298" i="5"/>
  <c r="Z298" i="5"/>
  <c r="Y298" i="5"/>
  <c r="AA297" i="5"/>
  <c r="Z297" i="5"/>
  <c r="Y297" i="5"/>
  <c r="AA296" i="5"/>
  <c r="Z296" i="5"/>
  <c r="Y296" i="5"/>
  <c r="AA295" i="5"/>
  <c r="Z295" i="5"/>
  <c r="Y295" i="5"/>
  <c r="AA294" i="5"/>
  <c r="Z294" i="5"/>
  <c r="Y294" i="5"/>
  <c r="AA293" i="5"/>
  <c r="Z293" i="5"/>
  <c r="Y293" i="5"/>
  <c r="AA292" i="5"/>
  <c r="Z292" i="5"/>
  <c r="Y292" i="5"/>
  <c r="AA291" i="5"/>
  <c r="Z291" i="5"/>
  <c r="Y291" i="5"/>
  <c r="AA290" i="5"/>
  <c r="Z290" i="5"/>
  <c r="Y290" i="5"/>
  <c r="AA289" i="5"/>
  <c r="Z289" i="5"/>
  <c r="Y289" i="5"/>
  <c r="AA288" i="5"/>
  <c r="Z288" i="5"/>
  <c r="Y288" i="5"/>
  <c r="AA287" i="5"/>
  <c r="Z287" i="5"/>
  <c r="Y287" i="5"/>
  <c r="AA286" i="5"/>
  <c r="Z286" i="5"/>
  <c r="Y286" i="5"/>
  <c r="AA285" i="5"/>
  <c r="Z285" i="5"/>
  <c r="Y285" i="5"/>
  <c r="AA284" i="5"/>
  <c r="Z284" i="5"/>
  <c r="Y284" i="5"/>
  <c r="AA283" i="5"/>
  <c r="Z283" i="5"/>
  <c r="Y283" i="5"/>
  <c r="AA282" i="5"/>
  <c r="Z282" i="5"/>
  <c r="Y282" i="5"/>
  <c r="AA281" i="5"/>
  <c r="Z281" i="5"/>
  <c r="Y281" i="5"/>
  <c r="AA280" i="5"/>
  <c r="Z280" i="5"/>
  <c r="Y280" i="5"/>
  <c r="AA279" i="5"/>
  <c r="Z279" i="5"/>
  <c r="Y279" i="5"/>
  <c r="AA278" i="5"/>
  <c r="Z278" i="5"/>
  <c r="Y278" i="5"/>
  <c r="AA277" i="5"/>
  <c r="Z277" i="5"/>
  <c r="Y277" i="5"/>
  <c r="AA276" i="5"/>
  <c r="Z276" i="5"/>
  <c r="Y276" i="5"/>
  <c r="AA275" i="5"/>
  <c r="Z275" i="5"/>
  <c r="Y275" i="5"/>
  <c r="AA274" i="5"/>
  <c r="Z274" i="5"/>
  <c r="Y274" i="5"/>
  <c r="AA273" i="5"/>
  <c r="Z273" i="5"/>
  <c r="Y273" i="5"/>
  <c r="AA272" i="5"/>
  <c r="Z272" i="5"/>
  <c r="Y272" i="5"/>
  <c r="AA271" i="5"/>
  <c r="Z271" i="5"/>
  <c r="Y271" i="5"/>
  <c r="AA270" i="5"/>
  <c r="Z270" i="5"/>
  <c r="Y270" i="5"/>
  <c r="AA269" i="5"/>
  <c r="Z269" i="5"/>
  <c r="Y269" i="5"/>
  <c r="AA268" i="5"/>
  <c r="Z268" i="5"/>
  <c r="Y268" i="5"/>
  <c r="AA267" i="5"/>
  <c r="Z267" i="5"/>
  <c r="Y267" i="5"/>
  <c r="AA266" i="5"/>
  <c r="Z266" i="5"/>
  <c r="Y266" i="5"/>
  <c r="AA265" i="5"/>
  <c r="Z265" i="5"/>
  <c r="Y265" i="5"/>
  <c r="AA264" i="5"/>
  <c r="Z264" i="5"/>
  <c r="Y264" i="5"/>
  <c r="AA263" i="5"/>
  <c r="Z263" i="5"/>
  <c r="Y263" i="5"/>
  <c r="AA262" i="5"/>
  <c r="Z262" i="5"/>
  <c r="Y262" i="5"/>
  <c r="AA261" i="5"/>
  <c r="Z261" i="5"/>
  <c r="Y261" i="5"/>
  <c r="AA260" i="5"/>
  <c r="Z260" i="5"/>
  <c r="Y260" i="5"/>
  <c r="AA259" i="5"/>
  <c r="Z259" i="5"/>
  <c r="Y259" i="5"/>
  <c r="AA258" i="5"/>
  <c r="Z258" i="5"/>
  <c r="Y258" i="5"/>
  <c r="AA257" i="5"/>
  <c r="Z257" i="5"/>
  <c r="Y257" i="5"/>
  <c r="AA256" i="5"/>
  <c r="Z256" i="5"/>
  <c r="Y256" i="5"/>
  <c r="AA255" i="5"/>
  <c r="Z255" i="5"/>
  <c r="Y255" i="5"/>
  <c r="AA254" i="5"/>
  <c r="Z254" i="5"/>
  <c r="Y254" i="5"/>
  <c r="AA253" i="5"/>
  <c r="Z253" i="5"/>
  <c r="Y253" i="5"/>
  <c r="AA252" i="5"/>
  <c r="Z252" i="5"/>
  <c r="Y252" i="5"/>
  <c r="AA251" i="5"/>
  <c r="Z251" i="5"/>
  <c r="Y251" i="5"/>
  <c r="AA250" i="5"/>
  <c r="Z250" i="5"/>
  <c r="Y250" i="5"/>
  <c r="AA249" i="5"/>
  <c r="Z249" i="5"/>
  <c r="Y249" i="5"/>
  <c r="AA248" i="5"/>
  <c r="Z248" i="5"/>
  <c r="Y248" i="5"/>
  <c r="AA247" i="5"/>
  <c r="Z247" i="5"/>
  <c r="Y247" i="5"/>
  <c r="AA246" i="5"/>
  <c r="Z246" i="5"/>
  <c r="Y246" i="5"/>
  <c r="AA245" i="5"/>
  <c r="Z245" i="5"/>
  <c r="Y245" i="5"/>
  <c r="AA244" i="5"/>
  <c r="Z244" i="5"/>
  <c r="Y244" i="5"/>
  <c r="AA243" i="5"/>
  <c r="Z243" i="5"/>
  <c r="Y243" i="5"/>
  <c r="AA242" i="5"/>
  <c r="Z242" i="5"/>
  <c r="Y242" i="5"/>
  <c r="AA241" i="5"/>
  <c r="Z241" i="5"/>
  <c r="Y241" i="5"/>
  <c r="AA240" i="5"/>
  <c r="Z240" i="5"/>
  <c r="Y240" i="5"/>
  <c r="AA239" i="5"/>
  <c r="Z239" i="5"/>
  <c r="Y239" i="5"/>
  <c r="AA238" i="5"/>
  <c r="Z238" i="5"/>
  <c r="Y238" i="5"/>
  <c r="AA237" i="5"/>
  <c r="Z237" i="5"/>
  <c r="Y237" i="5"/>
  <c r="AA236" i="5"/>
  <c r="Z236" i="5"/>
  <c r="Y236" i="5"/>
  <c r="AA235" i="5"/>
  <c r="Z235" i="5"/>
  <c r="Y235" i="5"/>
  <c r="AA234" i="5"/>
  <c r="Z234" i="5"/>
  <c r="Y234" i="5"/>
  <c r="AA233" i="5"/>
  <c r="Z233" i="5"/>
  <c r="Y233" i="5"/>
  <c r="AA232" i="5"/>
  <c r="Z232" i="5"/>
  <c r="Y232" i="5"/>
  <c r="AA231" i="5"/>
  <c r="Z231" i="5"/>
  <c r="Y231" i="5"/>
  <c r="AA230" i="5"/>
  <c r="Z230" i="5"/>
  <c r="Y230" i="5"/>
  <c r="AA229" i="5"/>
  <c r="Z229" i="5"/>
  <c r="Y229" i="5"/>
  <c r="AA228" i="5"/>
  <c r="Z228" i="5"/>
  <c r="Y228" i="5"/>
  <c r="AA227" i="5"/>
  <c r="Z227" i="5"/>
  <c r="Y227" i="5"/>
  <c r="AA226" i="5"/>
  <c r="Z226" i="5"/>
  <c r="Y226" i="5"/>
  <c r="AA225" i="5"/>
  <c r="Z225" i="5"/>
  <c r="Y225" i="5"/>
  <c r="AA224" i="5"/>
  <c r="Z224" i="5"/>
  <c r="Y224" i="5"/>
  <c r="AA223" i="5"/>
  <c r="Z223" i="5"/>
  <c r="Y223" i="5"/>
  <c r="AA222" i="5"/>
  <c r="Z222" i="5"/>
  <c r="Y222" i="5"/>
  <c r="AA221" i="5"/>
  <c r="Z221" i="5"/>
  <c r="Y221" i="5"/>
  <c r="AA220" i="5"/>
  <c r="Z220" i="5"/>
  <c r="Y220" i="5"/>
  <c r="AA219" i="5"/>
  <c r="Z219" i="5"/>
  <c r="Y219" i="5"/>
  <c r="AA218" i="5"/>
  <c r="Z218" i="5"/>
  <c r="Y218" i="5"/>
  <c r="AA217" i="5"/>
  <c r="Z217" i="5"/>
  <c r="Y217" i="5"/>
  <c r="AA216" i="5"/>
  <c r="Z216" i="5"/>
  <c r="Y216" i="5"/>
  <c r="AA215" i="5"/>
  <c r="Z215" i="5"/>
  <c r="Y215" i="5"/>
  <c r="AA214" i="5"/>
  <c r="Z214" i="5"/>
  <c r="Y214" i="5"/>
  <c r="AA213" i="5"/>
  <c r="Z213" i="5"/>
  <c r="Y213" i="5"/>
  <c r="AA212" i="5"/>
  <c r="Z212" i="5"/>
  <c r="Y212" i="5"/>
  <c r="AA211" i="5"/>
  <c r="Z211" i="5"/>
  <c r="Y211" i="5"/>
  <c r="AA210" i="5"/>
  <c r="Z210" i="5"/>
  <c r="Y210" i="5"/>
  <c r="AA209" i="5"/>
  <c r="Z209" i="5"/>
  <c r="Y209" i="5"/>
  <c r="AA208" i="5"/>
  <c r="Z208" i="5"/>
  <c r="Y208" i="5"/>
  <c r="AA207" i="5"/>
  <c r="Z207" i="5"/>
  <c r="Y207" i="5"/>
  <c r="AA206" i="5"/>
  <c r="Z206" i="5"/>
  <c r="Y206" i="5"/>
  <c r="AA205" i="5"/>
  <c r="Z205" i="5"/>
  <c r="Y205" i="5"/>
  <c r="AA204" i="5"/>
  <c r="Z204" i="5"/>
  <c r="Y204" i="5"/>
  <c r="AA203" i="5"/>
  <c r="Z203" i="5"/>
  <c r="Y203" i="5"/>
  <c r="AA202" i="5"/>
  <c r="Z202" i="5"/>
  <c r="Y202" i="5"/>
  <c r="AA201" i="5"/>
  <c r="Z201" i="5"/>
  <c r="Y201" i="5"/>
  <c r="AA200" i="5"/>
  <c r="Z200" i="5"/>
  <c r="Y200" i="5"/>
  <c r="AA199" i="5"/>
  <c r="Z199" i="5"/>
  <c r="Y199" i="5"/>
  <c r="AA198" i="5"/>
  <c r="Z198" i="5"/>
  <c r="Y198" i="5"/>
  <c r="AA197" i="5"/>
  <c r="Z197" i="5"/>
  <c r="Y197" i="5"/>
  <c r="AA196" i="5"/>
  <c r="Z196" i="5"/>
  <c r="Y196" i="5"/>
  <c r="AA195" i="5"/>
  <c r="Z195" i="5"/>
  <c r="Y195" i="5"/>
  <c r="AA194" i="5"/>
  <c r="Z194" i="5"/>
  <c r="Y194" i="5"/>
  <c r="AA193" i="5"/>
  <c r="Z193" i="5"/>
  <c r="Y193" i="5"/>
  <c r="AA192" i="5"/>
  <c r="Z192" i="5"/>
  <c r="Y192" i="5"/>
  <c r="AA191" i="5"/>
  <c r="Z191" i="5"/>
  <c r="Y191" i="5"/>
  <c r="AA190" i="5"/>
  <c r="Z190" i="5"/>
  <c r="Y190" i="5"/>
  <c r="AA189" i="5"/>
  <c r="Z189" i="5"/>
  <c r="Y189" i="5"/>
  <c r="AA188" i="5"/>
  <c r="Z188" i="5"/>
  <c r="Y188" i="5"/>
  <c r="AA187" i="5"/>
  <c r="Z187" i="5"/>
  <c r="Y187" i="5"/>
  <c r="AA186" i="5"/>
  <c r="Z186" i="5"/>
  <c r="Y186" i="5"/>
  <c r="AA185" i="5"/>
  <c r="Z185" i="5"/>
  <c r="Y185" i="5"/>
  <c r="AA184" i="5"/>
  <c r="Z184" i="5"/>
  <c r="Y184" i="5"/>
  <c r="AA183" i="5"/>
  <c r="Z183" i="5"/>
  <c r="Y183" i="5"/>
  <c r="AA182" i="5"/>
  <c r="Z182" i="5"/>
  <c r="Y182" i="5"/>
  <c r="AA181" i="5"/>
  <c r="Z181" i="5"/>
  <c r="Y181" i="5"/>
  <c r="AA180" i="5"/>
  <c r="Z180" i="5"/>
  <c r="Y180" i="5"/>
  <c r="AA179" i="5"/>
  <c r="Z179" i="5"/>
  <c r="Y179" i="5"/>
  <c r="AA178" i="5"/>
  <c r="Z178" i="5"/>
  <c r="Y178" i="5"/>
  <c r="AA177" i="5"/>
  <c r="Z177" i="5"/>
  <c r="Y177" i="5"/>
  <c r="AA176" i="5"/>
  <c r="Z176" i="5"/>
  <c r="Y176" i="5"/>
  <c r="AA175" i="5"/>
  <c r="Z175" i="5"/>
  <c r="Y175" i="5"/>
  <c r="AA174" i="5"/>
  <c r="Z174" i="5"/>
  <c r="Y174" i="5"/>
  <c r="AA173" i="5"/>
  <c r="Z173" i="5"/>
  <c r="Y173" i="5"/>
  <c r="AA172" i="5"/>
  <c r="Z172" i="5"/>
  <c r="Y172" i="5"/>
  <c r="AA171" i="5"/>
  <c r="Z171" i="5"/>
  <c r="Y171" i="5"/>
  <c r="AA170" i="5"/>
  <c r="Z170" i="5"/>
  <c r="Y170" i="5"/>
  <c r="AA169" i="5"/>
  <c r="Z169" i="5"/>
  <c r="Y169" i="5"/>
  <c r="AA168" i="5"/>
  <c r="Z168" i="5"/>
  <c r="Y168" i="5"/>
  <c r="AA167" i="5"/>
  <c r="Z167" i="5"/>
  <c r="Y167" i="5"/>
  <c r="AA166" i="5"/>
  <c r="Z166" i="5"/>
  <c r="Y166" i="5"/>
  <c r="AA165" i="5"/>
  <c r="Z165" i="5"/>
  <c r="Y165" i="5"/>
  <c r="AA164" i="5"/>
  <c r="Z164" i="5"/>
  <c r="Y164" i="5"/>
  <c r="AA163" i="5"/>
  <c r="Z163" i="5"/>
  <c r="Y163" i="5"/>
  <c r="AA162" i="5"/>
  <c r="Z162" i="5"/>
  <c r="Y162" i="5"/>
  <c r="AA161" i="5"/>
  <c r="Z161" i="5"/>
  <c r="Y161" i="5"/>
  <c r="AA160" i="5"/>
  <c r="Z160" i="5"/>
  <c r="Y160" i="5"/>
  <c r="AA159" i="5"/>
  <c r="Z159" i="5"/>
  <c r="Y159" i="5"/>
  <c r="AA158" i="5"/>
  <c r="Z158" i="5"/>
  <c r="Y158" i="5"/>
  <c r="AA157" i="5"/>
  <c r="Z157" i="5"/>
  <c r="Y157" i="5"/>
  <c r="AA156" i="5"/>
  <c r="Z156" i="5"/>
  <c r="Y156" i="5"/>
  <c r="AA155" i="5"/>
  <c r="Z155" i="5"/>
  <c r="Y155" i="5"/>
  <c r="AA154" i="5"/>
  <c r="Z154" i="5"/>
  <c r="Y154" i="5"/>
  <c r="AA153" i="5"/>
  <c r="Z153" i="5"/>
  <c r="Y153" i="5"/>
  <c r="AA152" i="5"/>
  <c r="Z152" i="5"/>
  <c r="Y152" i="5"/>
  <c r="AA151" i="5"/>
  <c r="Z151" i="5"/>
  <c r="Y151" i="5"/>
  <c r="AA150" i="5"/>
  <c r="Z150" i="5"/>
  <c r="Y150" i="5"/>
  <c r="AA149" i="5"/>
  <c r="Z149" i="5"/>
  <c r="Y149" i="5"/>
  <c r="AA148" i="5"/>
  <c r="Z148" i="5"/>
  <c r="Y148" i="5"/>
  <c r="AA147" i="5"/>
  <c r="Z147" i="5"/>
  <c r="Y147" i="5"/>
  <c r="AA146" i="5"/>
  <c r="Z146" i="5"/>
  <c r="Y146" i="5"/>
  <c r="AA145" i="5"/>
  <c r="Z145" i="5"/>
  <c r="Y145" i="5"/>
  <c r="AA144" i="5"/>
  <c r="Z144" i="5"/>
  <c r="Y144" i="5"/>
  <c r="AA143" i="5"/>
  <c r="Z143" i="5"/>
  <c r="Y143" i="5"/>
  <c r="AA142" i="5"/>
  <c r="Z142" i="5"/>
  <c r="Y142" i="5"/>
  <c r="AA141" i="5"/>
  <c r="Z141" i="5"/>
  <c r="Y141" i="5"/>
  <c r="AA140" i="5"/>
  <c r="Z140" i="5"/>
  <c r="Y140" i="5"/>
  <c r="AA139" i="5"/>
  <c r="Z139" i="5"/>
  <c r="Y139" i="5"/>
  <c r="AA138" i="5"/>
  <c r="Z138" i="5"/>
  <c r="Y138" i="5"/>
  <c r="AA137" i="5"/>
  <c r="Z137" i="5"/>
  <c r="Y137" i="5"/>
  <c r="AA136" i="5"/>
  <c r="Z136" i="5"/>
  <c r="Y136" i="5"/>
  <c r="AA135" i="5"/>
  <c r="Z135" i="5"/>
  <c r="Y135" i="5"/>
  <c r="AA134" i="5"/>
  <c r="Z134" i="5"/>
  <c r="Y134" i="5"/>
  <c r="AA133" i="5"/>
  <c r="Z133" i="5"/>
  <c r="Y133" i="5"/>
  <c r="AA132" i="5"/>
  <c r="Z132" i="5"/>
  <c r="Y132" i="5"/>
  <c r="AA131" i="5"/>
  <c r="Z131" i="5"/>
  <c r="Y131" i="5"/>
  <c r="AA130" i="5"/>
  <c r="Z130" i="5"/>
  <c r="Y130" i="5"/>
  <c r="AA129" i="5"/>
  <c r="Z129" i="5"/>
  <c r="Y129" i="5"/>
  <c r="AA128" i="5"/>
  <c r="Z128" i="5"/>
  <c r="Y128" i="5"/>
  <c r="AA127" i="5"/>
  <c r="Z127" i="5"/>
  <c r="Y127" i="5"/>
  <c r="AA126" i="5"/>
  <c r="Z126" i="5"/>
  <c r="Y126" i="5"/>
  <c r="AA125" i="5"/>
  <c r="Z125" i="5"/>
  <c r="Y125" i="5"/>
  <c r="AA124" i="5"/>
  <c r="Z124" i="5"/>
  <c r="Y124" i="5"/>
  <c r="AA123" i="5"/>
  <c r="Z123" i="5"/>
  <c r="Y123" i="5"/>
  <c r="AA122" i="5"/>
  <c r="Z122" i="5"/>
  <c r="Y122" i="5"/>
  <c r="AA121" i="5"/>
  <c r="Z121" i="5"/>
  <c r="Y121" i="5"/>
  <c r="AA120" i="5"/>
  <c r="Z120" i="5"/>
  <c r="Y120" i="5"/>
  <c r="AA119" i="5"/>
  <c r="Z119" i="5"/>
  <c r="Y119" i="5"/>
  <c r="AA118" i="5"/>
  <c r="Z118" i="5"/>
  <c r="Y118" i="5"/>
  <c r="AA117" i="5"/>
  <c r="Z117" i="5"/>
  <c r="Y117" i="5"/>
  <c r="AA116" i="5"/>
  <c r="Z116" i="5"/>
  <c r="Y116" i="5"/>
  <c r="AA115" i="5"/>
  <c r="Z115" i="5"/>
  <c r="Y115" i="5"/>
  <c r="AA114" i="5"/>
  <c r="Z114" i="5"/>
  <c r="Y114" i="5"/>
  <c r="AA113" i="5"/>
  <c r="Z113" i="5"/>
  <c r="Y113" i="5"/>
  <c r="AA112" i="5"/>
  <c r="Z112" i="5"/>
  <c r="Y112" i="5"/>
  <c r="AA111" i="5"/>
  <c r="Z111" i="5"/>
  <c r="Y111" i="5"/>
  <c r="AA110" i="5"/>
  <c r="Z110" i="5"/>
  <c r="Y110" i="5"/>
  <c r="AA109" i="5"/>
  <c r="Z109" i="5"/>
  <c r="Y109" i="5"/>
  <c r="AA108" i="5"/>
  <c r="Z108" i="5"/>
  <c r="Y108" i="5"/>
  <c r="AA107" i="5"/>
  <c r="Z107" i="5"/>
  <c r="Y107" i="5"/>
  <c r="AA106" i="5"/>
  <c r="Z106" i="5"/>
  <c r="Y106" i="5"/>
  <c r="AA105" i="5"/>
  <c r="Z105" i="5"/>
  <c r="Y105" i="5"/>
  <c r="AA104" i="5"/>
  <c r="Z104" i="5"/>
  <c r="Y104" i="5"/>
  <c r="AA103" i="5"/>
  <c r="Z103" i="5"/>
  <c r="Y103" i="5"/>
  <c r="AA102" i="5"/>
  <c r="Z102" i="5"/>
  <c r="Y102" i="5"/>
  <c r="AA101" i="5"/>
  <c r="Z101" i="5"/>
  <c r="Y101" i="5"/>
  <c r="AA100" i="5"/>
  <c r="Z100" i="5"/>
  <c r="Y100" i="5"/>
  <c r="AA99" i="5"/>
  <c r="Z99" i="5"/>
  <c r="Y99" i="5"/>
  <c r="AA98" i="5"/>
  <c r="Z98" i="5"/>
  <c r="Y98" i="5"/>
  <c r="AA97" i="5"/>
  <c r="Z97" i="5"/>
  <c r="Y97" i="5"/>
  <c r="AA96" i="5"/>
  <c r="Z96" i="5"/>
  <c r="Y96" i="5"/>
  <c r="AA95" i="5"/>
  <c r="Z95" i="5"/>
  <c r="Y95" i="5"/>
  <c r="AA94" i="5"/>
  <c r="Z94" i="5"/>
  <c r="Y94" i="5"/>
  <c r="AA93" i="5"/>
  <c r="Z93" i="5"/>
  <c r="Y93" i="5"/>
  <c r="AA92" i="5"/>
  <c r="Z92" i="5"/>
  <c r="Y92" i="5"/>
  <c r="AA91" i="5"/>
  <c r="Z91" i="5"/>
  <c r="Y91" i="5"/>
  <c r="AA90" i="5"/>
  <c r="Z90" i="5"/>
  <c r="Y90" i="5"/>
  <c r="AA89" i="5"/>
  <c r="Z89" i="5"/>
  <c r="Y89" i="5"/>
  <c r="AA88" i="5"/>
  <c r="Z88" i="5"/>
  <c r="Y88" i="5"/>
  <c r="AA87" i="5"/>
  <c r="Z87" i="5"/>
  <c r="Y87" i="5"/>
  <c r="AA86" i="5"/>
  <c r="Z86" i="5"/>
  <c r="Y86" i="5"/>
  <c r="AA85" i="5"/>
  <c r="Z85" i="5"/>
  <c r="Y85" i="5"/>
  <c r="AA84" i="5"/>
  <c r="Z84" i="5"/>
  <c r="Y84" i="5"/>
  <c r="AA83" i="5"/>
  <c r="Z83" i="5"/>
  <c r="Y83" i="5"/>
  <c r="AA82" i="5"/>
  <c r="Z82" i="5"/>
  <c r="Y82" i="5"/>
  <c r="AA81" i="5"/>
  <c r="Z81" i="5"/>
  <c r="Y81" i="5"/>
  <c r="AA80" i="5"/>
  <c r="Z80" i="5"/>
  <c r="Y80" i="5"/>
  <c r="AA79" i="5"/>
  <c r="Z79" i="5"/>
  <c r="Y79" i="5"/>
  <c r="AA78" i="5"/>
  <c r="Z78" i="5"/>
  <c r="Y78" i="5"/>
  <c r="AA77" i="5"/>
  <c r="Z77" i="5"/>
  <c r="Y77" i="5"/>
  <c r="AA76" i="5"/>
  <c r="Z76" i="5"/>
  <c r="Y76" i="5"/>
  <c r="AA75" i="5"/>
  <c r="Z75" i="5"/>
  <c r="Y75" i="5"/>
  <c r="AA74" i="5"/>
  <c r="Z74" i="5"/>
  <c r="Y74" i="5"/>
  <c r="AA73" i="5"/>
  <c r="Z73" i="5"/>
  <c r="Y73" i="5"/>
  <c r="AA72" i="5"/>
  <c r="Z72" i="5"/>
  <c r="Y72" i="5"/>
  <c r="AA71" i="5"/>
  <c r="Z71" i="5"/>
  <c r="Y71" i="5"/>
  <c r="AA70" i="5"/>
  <c r="Z70" i="5"/>
  <c r="Y70" i="5"/>
  <c r="AA69" i="5"/>
  <c r="Z69" i="5"/>
  <c r="Y69" i="5"/>
  <c r="AA68" i="5"/>
  <c r="Z68" i="5"/>
  <c r="Y68" i="5"/>
  <c r="AA67" i="5"/>
  <c r="Z67" i="5"/>
  <c r="Y67" i="5"/>
  <c r="AA66" i="5"/>
  <c r="Z66" i="5"/>
  <c r="Y66" i="5"/>
  <c r="AA65" i="5"/>
  <c r="Z65" i="5"/>
  <c r="Y65" i="5"/>
  <c r="AA64" i="5"/>
  <c r="Z64" i="5"/>
  <c r="Y64" i="5"/>
  <c r="AA63" i="5"/>
  <c r="Z63" i="5"/>
  <c r="Y63" i="5"/>
  <c r="AA62" i="5"/>
  <c r="Z62" i="5"/>
  <c r="Y62" i="5"/>
  <c r="AA61" i="5"/>
  <c r="Z61" i="5"/>
  <c r="Y61" i="5"/>
  <c r="AA60" i="5"/>
  <c r="Z60" i="5"/>
  <c r="Y60" i="5"/>
  <c r="AA59" i="5"/>
  <c r="Z59" i="5"/>
  <c r="Y59" i="5"/>
  <c r="AA58" i="5"/>
  <c r="Z58" i="5"/>
  <c r="Y58" i="5"/>
  <c r="AA57" i="5"/>
  <c r="Z57" i="5"/>
  <c r="Y57" i="5"/>
  <c r="AA56" i="5"/>
  <c r="Z56" i="5"/>
  <c r="Y56" i="5"/>
  <c r="AA55" i="5"/>
  <c r="Z55" i="5"/>
  <c r="Y55" i="5"/>
  <c r="AA54" i="5"/>
  <c r="Z54" i="5"/>
  <c r="Y54" i="5"/>
  <c r="AA53" i="5"/>
  <c r="Z53" i="5"/>
  <c r="Y53" i="5"/>
  <c r="AA52" i="5"/>
  <c r="Z52" i="5"/>
  <c r="Y52" i="5"/>
  <c r="AA51" i="5"/>
  <c r="Z51" i="5"/>
  <c r="Y51" i="5"/>
  <c r="AA50" i="5"/>
  <c r="Z50" i="5"/>
  <c r="Y50" i="5"/>
  <c r="AA49" i="5"/>
  <c r="Z49" i="5"/>
  <c r="Y49" i="5"/>
  <c r="AA48" i="5"/>
  <c r="Z48" i="5"/>
  <c r="Y48" i="5"/>
  <c r="AA47" i="5"/>
  <c r="Z47" i="5"/>
  <c r="Y47" i="5"/>
  <c r="AA46" i="5"/>
  <c r="Z46" i="5"/>
  <c r="Y46" i="5"/>
  <c r="AA45" i="5"/>
  <c r="Z45" i="5"/>
  <c r="Y45" i="5"/>
  <c r="AA44" i="5"/>
  <c r="Z44" i="5"/>
  <c r="Y44" i="5"/>
  <c r="AA43" i="5"/>
  <c r="Z43" i="5"/>
  <c r="Y43" i="5"/>
  <c r="AA42" i="5"/>
  <c r="Z42" i="5"/>
  <c r="Y42" i="5"/>
  <c r="AA41" i="5"/>
  <c r="Z41" i="5"/>
  <c r="Y41" i="5"/>
  <c r="AA40" i="5"/>
  <c r="Z40" i="5"/>
  <c r="Y40" i="5"/>
  <c r="AA39" i="5"/>
  <c r="Z39" i="5"/>
  <c r="Y39" i="5"/>
  <c r="AA38" i="5"/>
  <c r="Z38" i="5"/>
  <c r="Y38" i="5"/>
  <c r="AA37" i="5"/>
  <c r="Z37" i="5"/>
  <c r="Y37" i="5"/>
  <c r="AA36" i="5"/>
  <c r="Z36" i="5"/>
  <c r="Y36" i="5"/>
  <c r="AA35" i="5"/>
  <c r="Z35" i="5"/>
  <c r="Y35" i="5"/>
  <c r="AA34" i="5"/>
  <c r="Z34" i="5"/>
  <c r="Y34" i="5"/>
  <c r="AA33" i="5"/>
  <c r="Z33" i="5"/>
  <c r="Y33" i="5"/>
  <c r="AA32" i="5"/>
  <c r="Z32" i="5"/>
  <c r="Y32" i="5"/>
  <c r="AA31" i="5"/>
  <c r="Z31" i="5"/>
  <c r="Y31" i="5"/>
  <c r="AA30" i="5"/>
  <c r="Z30" i="5"/>
  <c r="Y30" i="5"/>
  <c r="AA29" i="5"/>
  <c r="Z29" i="5"/>
  <c r="Y29" i="5"/>
  <c r="AA28" i="5"/>
  <c r="Z28" i="5"/>
  <c r="Y28" i="5"/>
  <c r="AA27" i="5"/>
  <c r="Z27" i="5"/>
  <c r="Y27" i="5"/>
  <c r="AA26" i="5"/>
  <c r="Z26" i="5"/>
  <c r="Y26" i="5"/>
  <c r="AA25" i="5"/>
  <c r="Z25" i="5"/>
  <c r="Y25" i="5"/>
  <c r="AA24" i="5"/>
  <c r="Z24" i="5"/>
  <c r="Y24" i="5"/>
  <c r="AA23" i="5"/>
  <c r="Z23" i="5"/>
  <c r="Y23" i="5"/>
  <c r="AA22" i="5"/>
  <c r="Z22" i="5"/>
  <c r="Y22" i="5"/>
  <c r="AA21" i="5"/>
  <c r="Z21" i="5"/>
  <c r="Y21" i="5"/>
  <c r="AA20" i="5"/>
  <c r="Z20" i="5"/>
  <c r="Y20" i="5"/>
  <c r="AA19" i="5"/>
  <c r="Z19" i="5"/>
  <c r="Y19" i="5"/>
  <c r="AA18" i="5"/>
  <c r="Z18" i="5"/>
  <c r="Y18" i="5"/>
  <c r="AA17" i="5"/>
  <c r="Z17" i="5"/>
  <c r="Y17" i="5"/>
  <c r="AA16" i="5"/>
  <c r="Z16" i="5"/>
  <c r="Y16" i="5"/>
  <c r="AA15" i="5"/>
  <c r="Z15" i="5"/>
  <c r="Y15" i="5"/>
  <c r="AA14" i="5"/>
  <c r="Z14" i="5"/>
  <c r="Y14" i="5"/>
  <c r="AA13" i="5"/>
  <c r="Z13" i="5"/>
  <c r="Y13" i="5"/>
  <c r="AA12" i="5"/>
  <c r="Z12" i="5"/>
  <c r="Y12" i="5"/>
  <c r="AA11" i="5"/>
  <c r="Z11" i="5"/>
  <c r="Y11" i="5"/>
  <c r="AA10" i="5"/>
  <c r="Z10" i="5"/>
  <c r="Y10" i="5"/>
  <c r="AA9" i="5"/>
  <c r="Z9" i="5"/>
  <c r="Y9" i="5"/>
  <c r="AA8" i="5"/>
  <c r="Z8" i="5"/>
  <c r="Y8" i="5"/>
  <c r="AA7" i="5"/>
  <c r="Z7" i="5"/>
  <c r="Y7" i="5"/>
  <c r="AA6" i="5"/>
  <c r="Z6" i="5"/>
  <c r="Y6" i="5"/>
  <c r="AA5" i="5"/>
  <c r="Z5" i="5"/>
  <c r="Y5" i="5"/>
  <c r="AA4" i="5"/>
  <c r="Z4" i="5"/>
  <c r="Y4" i="5"/>
  <c r="AA3" i="5"/>
  <c r="Z3" i="5"/>
  <c r="Y3" i="5"/>
</calcChain>
</file>

<file path=xl/sharedStrings.xml><?xml version="1.0" encoding="utf-8"?>
<sst xmlns="http://schemas.openxmlformats.org/spreadsheetml/2006/main" count="12434" uniqueCount="3035">
  <si>
    <t>6/9/2026 12:18:25 PM</t>
  </si>
  <si>
    <t>Ahmad Alsamhouri   e2274</t>
  </si>
  <si>
    <t>الرقم المرجعي</t>
  </si>
  <si>
    <t>فئة العقار</t>
  </si>
  <si>
    <t>نوع العقار</t>
  </si>
  <si>
    <t>المحافظة</t>
  </si>
  <si>
    <t>مديرية التسجيل</t>
  </si>
  <si>
    <t>اسم القرية / رقمها</t>
  </si>
  <si>
    <t>اسم الحوض / رقمه</t>
  </si>
  <si>
    <t>المنطقة</t>
  </si>
  <si>
    <t>رقم القطعة</t>
  </si>
  <si>
    <t>رقم الشقة</t>
  </si>
  <si>
    <t>الطابق</t>
  </si>
  <si>
    <t>المساحة</t>
  </si>
  <si>
    <t>فيديو</t>
  </si>
  <si>
    <t>جولة افتراضية</t>
  </si>
  <si>
    <t>موقع العقار</t>
  </si>
  <si>
    <t>السعر</t>
  </si>
  <si>
    <t>الوصف</t>
  </si>
  <si>
    <t>AQ-RE-101104</t>
  </si>
  <si>
    <t>وحدات عقارية</t>
  </si>
  <si>
    <t>المستودع</t>
  </si>
  <si>
    <t>محافظة اربد</t>
  </si>
  <si>
    <t>اراضي اربد (9)</t>
  </si>
  <si>
    <t>اربد (171)</t>
  </si>
  <si>
    <t>المسبغانية الجنوبية (11)</t>
  </si>
  <si>
    <t>شارع الهاشمي</t>
  </si>
  <si>
    <t>-1</t>
  </si>
  <si>
    <t>28</t>
  </si>
  <si>
    <t xml:space="preserve">مخزن طابق تسوية في محافظة اربد منطقة شارع الهاشمي التنظيم تجاري معارض بمساحة 28 م2_x000D_
</t>
  </si>
  <si>
    <t>AQ-RE-101099</t>
  </si>
  <si>
    <t>AQ-RE-101110</t>
  </si>
  <si>
    <t>1</t>
  </si>
  <si>
    <t>20</t>
  </si>
  <si>
    <t xml:space="preserve">مخزن طابق ارضي في محافظة اربد منطقة شارع الهاشمي التنظيم تجاري معارض بمساحة 20 م2_x000D_
</t>
  </si>
  <si>
    <t>AQ-RE-101098</t>
  </si>
  <si>
    <t>AQ-RE-101100</t>
  </si>
  <si>
    <t>AQ-RE-101101</t>
  </si>
  <si>
    <t>30</t>
  </si>
  <si>
    <t xml:space="preserve">مخزن طابق تسوية في محافظة اربد منطقة شارع الهاشمي التنظيم تجاري معارض بمساحة 30 م2_x000D_
</t>
  </si>
  <si>
    <t>AQ-RE-101111</t>
  </si>
  <si>
    <t>0</t>
  </si>
  <si>
    <t>45</t>
  </si>
  <si>
    <t xml:space="preserve">مخزن طابق ارضي في محافظة اربد منطقة شارع الهاشمي التنظيم تجاري معارض بمساحة 45 م2_x000D_
</t>
  </si>
  <si>
    <t>AQ-RE-100403</t>
  </si>
  <si>
    <t>رووف</t>
  </si>
  <si>
    <t>اراضي دير ابي سعيد (13)</t>
  </si>
  <si>
    <t>دير ابي سعيد الشرقي (267)</t>
  </si>
  <si>
    <t>البلد (8)</t>
  </si>
  <si>
    <t>دير أبي سعيد</t>
  </si>
  <si>
    <t>3</t>
  </si>
  <si>
    <t>153</t>
  </si>
  <si>
    <t xml:space="preserve">شقة طابق ثالث مساحة 153 م2 في محافظة اربد منطقة دير أبي سعيد تنظيم سكني د_x000D_
</t>
  </si>
  <si>
    <t>AQ-RE-100464</t>
  </si>
  <si>
    <t>شقة</t>
  </si>
  <si>
    <t>البارحه (174)</t>
  </si>
  <si>
    <t>المطلع (9)</t>
  </si>
  <si>
    <t>البارحة</t>
  </si>
  <si>
    <t>87.000</t>
  </si>
  <si>
    <t xml:space="preserve">شقة طابق تسوية مساحة 87 م2 في محافظة اربد منطقة البارحة تنظيم سكني ج_x000D_
</t>
  </si>
  <si>
    <t>AQ-RE-100668</t>
  </si>
  <si>
    <t>المواجه (14)</t>
  </si>
  <si>
    <t>110</t>
  </si>
  <si>
    <t xml:space="preserve">شقة طابق تسوية مساحة 110 م2 في محافظة اربد منطقة البارحة تنظيم سكني د_x000D_
</t>
  </si>
  <si>
    <t>AQ-RE-100380</t>
  </si>
  <si>
    <t>اراضي الطيبه (16)</t>
  </si>
  <si>
    <t>الطيبة (333)</t>
  </si>
  <si>
    <t>البلد (60)</t>
  </si>
  <si>
    <t>لواء الطيبة</t>
  </si>
  <si>
    <t>126</t>
  </si>
  <si>
    <t>شقة طابق اول في محافظة اربد منطقة لواء الطيبة التنظيم سكني ج بمساحة 126 م2</t>
  </si>
  <si>
    <t>AQ-RE-100977</t>
  </si>
  <si>
    <t>بيت راس (183)</t>
  </si>
  <si>
    <t>الضمري (4)</t>
  </si>
  <si>
    <t>بيت راس</t>
  </si>
  <si>
    <t>2</t>
  </si>
  <si>
    <t>71</t>
  </si>
  <si>
    <t xml:space="preserve">شقة طابق ثاني مع سطح في محافظة اربد التنظيم سكني ب بمساحة 71 م2_x000D_
</t>
  </si>
  <si>
    <t>AQ-RE-100865</t>
  </si>
  <si>
    <t>البلد (5)</t>
  </si>
  <si>
    <t>87</t>
  </si>
  <si>
    <t xml:space="preserve">شقة طابق ثاني مساحة 87 م2 في محافظة اربد منطقة بيت راس تنظيم سكني د_x000D_
</t>
  </si>
  <si>
    <t>AQ-RE-101180</t>
  </si>
  <si>
    <t>اراضي الشونة الشمالية (14)</t>
  </si>
  <si>
    <t>المشارع (752)</t>
  </si>
  <si>
    <t>البلد الشمالي (5)</t>
  </si>
  <si>
    <t>المشارع</t>
  </si>
  <si>
    <t>190</t>
  </si>
  <si>
    <t xml:space="preserve">شقة تسوية في محافظة اربد منطقة المشارع التنظيم سكني ضمن تجاري بمساحة 190 م2_x000D_
</t>
  </si>
  <si>
    <t>AQ-RE-100399</t>
  </si>
  <si>
    <t>سوم (196)</t>
  </si>
  <si>
    <t>دبيس (9)</t>
  </si>
  <si>
    <t>سوم</t>
  </si>
  <si>
    <t>130</t>
  </si>
  <si>
    <t>شقة في محافظة اربد منطقة سوم التنظيم سكني ب بمساحة 130 م2</t>
  </si>
  <si>
    <t>AQ-RE-100522</t>
  </si>
  <si>
    <t>مخربا (337)</t>
  </si>
  <si>
    <t>جدار البلد (14)</t>
  </si>
  <si>
    <t>مخربا</t>
  </si>
  <si>
    <t>120.000</t>
  </si>
  <si>
    <t xml:space="preserve">شقة طابق اول مساحة 120 م2 في محافظة اربد منطقة مخربا تنظيم سكني د_x000D_
</t>
  </si>
  <si>
    <t>AQ-RE-100863</t>
  </si>
  <si>
    <t>115</t>
  </si>
  <si>
    <t xml:space="preserve">شقة طابق اول مساحة 115 م2 في محافظة اربد منطقة بيت راس تنظيم سكني د_x000D_
</t>
  </si>
  <si>
    <t>AQ-RE-100743</t>
  </si>
  <si>
    <t>ايدون (173)</t>
  </si>
  <si>
    <t>البلد (36)</t>
  </si>
  <si>
    <t>ايدون</t>
  </si>
  <si>
    <t>107</t>
  </si>
  <si>
    <t xml:space="preserve">شقة طابق ثاني مساحة 107 م2 في محافظة اربد منطقة ايدون تنظيم سكني د_x000D_
</t>
  </si>
  <si>
    <t>AQ-RE-100091</t>
  </si>
  <si>
    <t>اراضي بني كنانة (15)</t>
  </si>
  <si>
    <t>كفرسوم (330)</t>
  </si>
  <si>
    <t>البلد (21)</t>
  </si>
  <si>
    <t>كفر سوم</t>
  </si>
  <si>
    <t>122</t>
  </si>
  <si>
    <t xml:space="preserve">شقة طابق اول مساحة 122 م2 في محافظة اربد منطقة كفرسوم تنظيم سكني د_x000D_
</t>
  </si>
  <si>
    <t>AQ-RE-100062</t>
  </si>
  <si>
    <t>قميم (202)</t>
  </si>
  <si>
    <t>البلد (3)</t>
  </si>
  <si>
    <t>قميم</t>
  </si>
  <si>
    <t>158</t>
  </si>
  <si>
    <t xml:space="preserve">شقة طابق ارضي مساحة 158 م2 في محافظة اربد منطقة قميم تنظيم سكني شعبي_x000D_
</t>
  </si>
  <si>
    <t>AQ-RE-100984</t>
  </si>
  <si>
    <t>كعبير (19)</t>
  </si>
  <si>
    <t>حي التركمان</t>
  </si>
  <si>
    <t>109</t>
  </si>
  <si>
    <t>شقة في محافظة اربد منطقة حي التركمان التنظيم سكني د  بمساحة 109 م2</t>
  </si>
  <si>
    <t>AQ-RE-100862</t>
  </si>
  <si>
    <t>138.20</t>
  </si>
  <si>
    <t xml:space="preserve">شقة طابق اول مساحة 138.20 م2 في محافظة اربد منطقة بيت راس تنظيم سكني د_x000D_
</t>
  </si>
  <si>
    <t>AQ-RE-100915</t>
  </si>
  <si>
    <t>القصيله (17)</t>
  </si>
  <si>
    <t>حي القصيلة</t>
  </si>
  <si>
    <t>139</t>
  </si>
  <si>
    <t xml:space="preserve">شقة طابق ثالث مساحة 139 م2 في محافظة اربد منطقة حي القصيلة تنظيم سكني ج_x000D_
</t>
  </si>
  <si>
    <t>AQ-RE-100795</t>
  </si>
  <si>
    <t>كفر يوبا (209)</t>
  </si>
  <si>
    <t>برد الماظ الجنوبي (3)</t>
  </si>
  <si>
    <t>كفر يوبا</t>
  </si>
  <si>
    <t xml:space="preserve">شقة طابق ارضي مساحة 115 م2 في محافظة اربد منطقة كفر يوبا تنظيم سكني ج_x000D_
</t>
  </si>
  <si>
    <t>AQ-RE-100864</t>
  </si>
  <si>
    <t xml:space="preserve">شقة طابق ثاني مساحة 115 م2 في محافظة اربد منطقة بيت راس تنظيم سكني د_x000D_
</t>
  </si>
  <si>
    <t>AQ-RE-100002</t>
  </si>
  <si>
    <t>حنينه (1)</t>
  </si>
  <si>
    <t>125</t>
  </si>
  <si>
    <t>شقة طابق ثاني مساحة 125 م2 في محافظة اربد منطقة البارحة تنظيم سكني ج</t>
  </si>
  <si>
    <t>AQ-RE-100069</t>
  </si>
  <si>
    <t>الدوار (28)</t>
  </si>
  <si>
    <t>الرابية</t>
  </si>
  <si>
    <t>86</t>
  </si>
  <si>
    <t xml:space="preserve">شقة طابق ثالث مساحة 86 م2 في محافظة اربد منطقة الرابية تنظيم سكني ج_x000D_
</t>
  </si>
  <si>
    <t>AQ-RE-100978</t>
  </si>
  <si>
    <t>ناطفه (211)</t>
  </si>
  <si>
    <t>حقل الزبل (1)</t>
  </si>
  <si>
    <t>150</t>
  </si>
  <si>
    <t>شقة طابق تسوية في محافظة اربد منطقة الرابية التنظيم سكني ب بمساحة 150 م2</t>
  </si>
  <si>
    <t>AQ-RE-100479</t>
  </si>
  <si>
    <t>الشيخ خليل (14)</t>
  </si>
  <si>
    <t>مجمع الشيخ خليل</t>
  </si>
  <si>
    <t>137</t>
  </si>
  <si>
    <t xml:space="preserve">شقة طابق ثالث مساحة 137 م2 في محافظة اربد منطقة مجمع الشيخ خليل تنظيم سكني ب_x000D_
</t>
  </si>
  <si>
    <t>AQ-RE-100669</t>
  </si>
  <si>
    <t>ناطفه</t>
  </si>
  <si>
    <t xml:space="preserve"> شقة طابق ثالث في محافظة اربد - ناطفة - تنظيمها سكن ب - مساحتها 150 م2 -  قرب مسجد فاضل الدباس_x000D_
</t>
  </si>
  <si>
    <t>AQ-RE-101120</t>
  </si>
  <si>
    <t>129</t>
  </si>
  <si>
    <t xml:space="preserve">شقة طابق ثالث في محافظة اربد التنظيم سكني تجاري بمساحة 129 م2_x000D_
</t>
  </si>
  <si>
    <t>AQ-RE-100979</t>
  </si>
  <si>
    <t>المسبغانية الشمالية (7)</t>
  </si>
  <si>
    <t>الروضة</t>
  </si>
  <si>
    <t>شقة طابق ارضي في محافظة اربد منطقة الروضة التنظيم سكني ب بمساحة 115 م2</t>
  </si>
  <si>
    <t>AQ-RE-100265</t>
  </si>
  <si>
    <t>البقعة الغربية (7)</t>
  </si>
  <si>
    <t>143</t>
  </si>
  <si>
    <t xml:space="preserve">شقة طابق ارضي مساحة 143 م2 في محافظة اربد منطقة البارحة تنظيم سكني ج_x000D_
</t>
  </si>
  <si>
    <t>AQ-RE-100365</t>
  </si>
  <si>
    <t>اراضي الرمثا (12)</t>
  </si>
  <si>
    <t>الطرة (265)</t>
  </si>
  <si>
    <t>سهام البيادر (22)</t>
  </si>
  <si>
    <t>الطرة</t>
  </si>
  <si>
    <t>196</t>
  </si>
  <si>
    <t xml:space="preserve">شقة طابق اول مساحة 196 م2 في محافظة اربد منطقة الطرة  تنظيم سكني ب_x000D_
</t>
  </si>
  <si>
    <t>AQ-RE-100107</t>
  </si>
  <si>
    <t>البقعة (6)</t>
  </si>
  <si>
    <t>الحي الشرقي</t>
  </si>
  <si>
    <t>140</t>
  </si>
  <si>
    <t xml:space="preserve"> شقة تسوية في محافظة اربد - الحي الشرقي - تنظيمها سكن ج - مساحتها 140 م2 -  قرب حديقة تونس_x000D_
</t>
  </si>
  <si>
    <t>AQ-RE-100313</t>
  </si>
  <si>
    <t>قروق الغربي (13)</t>
  </si>
  <si>
    <t>172</t>
  </si>
  <si>
    <t xml:space="preserve">شقة طابق تسوية مساحة 172 م2 في محافظة اربد منطقة الروضة تنظيم سكني ب_x000D_
</t>
  </si>
  <si>
    <t>AQ-RE-100343</t>
  </si>
  <si>
    <t>المطارق (2)</t>
  </si>
  <si>
    <t>فوعرا</t>
  </si>
  <si>
    <t>123</t>
  </si>
  <si>
    <t xml:space="preserve">شقة طابق ثالث مساحة 123 م2 في محافظة اربد منطقة فوعرا تنظيم سكني ج_x000D_
</t>
  </si>
  <si>
    <t>AQ-RE-101165</t>
  </si>
  <si>
    <t>اربد مول</t>
  </si>
  <si>
    <t xml:space="preserve">شقة جنوبية طابق اول بناية جنوبية في محافظة اربد التنظيم سكني تجاري طولي بمساحة 139 م2_x000D_
</t>
  </si>
  <si>
    <t>AQ-RE-100457</t>
  </si>
  <si>
    <t>شارع الثلاثين</t>
  </si>
  <si>
    <t>4</t>
  </si>
  <si>
    <t>167.000</t>
  </si>
  <si>
    <t xml:space="preserve">شقة طابق رابع مساحة 167 م2 في محافظة اربد منطقة شارع الثلاثين تنظيم سكني ب_x000D_
</t>
  </si>
  <si>
    <t>AQ-RE-100220</t>
  </si>
  <si>
    <t>161</t>
  </si>
  <si>
    <t xml:space="preserve">شقة طابق ثالث مساحة 161 م2 في محافظة اربد منطقة الروضة تنظيم سكني ب_x000D_
</t>
  </si>
  <si>
    <t>AQ-RE-101125</t>
  </si>
  <si>
    <t>سمر (309)</t>
  </si>
  <si>
    <t>البلد (11)</t>
  </si>
  <si>
    <t>431</t>
  </si>
  <si>
    <t xml:space="preserve">عقار سكني يقع في محافظة اربد منطقة سمر التنظيم السكني شعبي مساحة القطعة 431 م2_x000D_
</t>
  </si>
  <si>
    <t>AQ-RE-100306</t>
  </si>
  <si>
    <t>زبدة فركوح (193)</t>
  </si>
  <si>
    <t>عبادة (12)</t>
  </si>
  <si>
    <t>203</t>
  </si>
  <si>
    <t xml:space="preserve">شقة طابق ثاني مساحة 203 م2 في محافظة اربد منطقة الرابية تنظيم سكني د_x000D_
</t>
  </si>
  <si>
    <t>AQ-RE-100032</t>
  </si>
  <si>
    <t>163</t>
  </si>
  <si>
    <t xml:space="preserve">شقة طابق ثاني مساحة 163 م2 في محافظة اربد منطقة الحي الشرقي تنظيم سكني ب_x000D_
</t>
  </si>
  <si>
    <t>AQ-RE-101152</t>
  </si>
  <si>
    <t xml:space="preserve">شقة شرقية طابق الثاني عدا سطحها  في محافظة اربد التنظيم سكني ب بمساحة 150 م2_x000D_
</t>
  </si>
  <si>
    <t>AQ-RE-100296</t>
  </si>
  <si>
    <t>الطوال (21)</t>
  </si>
  <si>
    <t>شارع الجامعة</t>
  </si>
  <si>
    <t xml:space="preserve">شقة طابق ثالث في محافظة اربد - منطقة النزهة - تنظيمها سكن أ  - مساحتها 158 م2 - شرق جامعة اليرموك - خلف نادي المعلمين </t>
  </si>
  <si>
    <t>AQ-RE-100803</t>
  </si>
  <si>
    <t>كريزم (5)</t>
  </si>
  <si>
    <t>159</t>
  </si>
  <si>
    <t xml:space="preserve">شقة طابق اول مساحة 159 م2 في محافظة اربد منطقة ايدون - دوار صحارى تنظيم سكني ب_x000D_
</t>
  </si>
  <si>
    <t>AQ-RE-100015</t>
  </si>
  <si>
    <t>الصبيح (10)</t>
  </si>
  <si>
    <t>175</t>
  </si>
  <si>
    <t xml:space="preserve">شقة طابق ثالث مساحة 175 م2 في محافظة اربد منطقة الحي الشرقي تنظيم سكني أ_x000D_
</t>
  </si>
  <si>
    <t>AQ-RE-101140</t>
  </si>
  <si>
    <t>167</t>
  </si>
  <si>
    <t xml:space="preserve">شقة طابق ثالث في محافظة اربد منطقة ايدون التنظيم سكني ب بمساحة 167 م2_x000D_
</t>
  </si>
  <si>
    <t>AQ-RE-100341</t>
  </si>
  <si>
    <t>السياف (1)</t>
  </si>
  <si>
    <t xml:space="preserve">شقة طابق ثالث مساحة 150 م2 في محافظة اربد منطقة الروضة تنظيم سكني ب_x000D_
</t>
  </si>
  <si>
    <t>AQ-RE-100295</t>
  </si>
  <si>
    <t>الحصن (175)</t>
  </si>
  <si>
    <t>سعوه و السرج (5)</t>
  </si>
  <si>
    <t>الحصن</t>
  </si>
  <si>
    <t>شقة طابق تسوية في محافظة اربد - منطقة الحصن - تنظيمها سكن باحكام خاصة - مساحتها 150 م2 -  بجانب سوبر ماركت أبو جواد العبابنة</t>
  </si>
  <si>
    <t>AQ-RE-100661</t>
  </si>
  <si>
    <t>النزهة</t>
  </si>
  <si>
    <t>165</t>
  </si>
  <si>
    <t xml:space="preserve"> شقة طابق ثالث في محافظة اربد - منطقة النزهة - تنظيمها سكن أ - مساحتها 165 م2 -  قرب مجمع عمان الجديد - جنوب قصر عدل اربد - قرب سوبر ماركت MK_x000D_
</t>
  </si>
  <si>
    <t>AQ-RE-100848</t>
  </si>
  <si>
    <t>الوقف (28)</t>
  </si>
  <si>
    <t>201</t>
  </si>
  <si>
    <t xml:space="preserve">شقة طابق اول مساحة 201 م2 في محافظة اربد منطقة ايدون تنظيم سكني أ_x000D_
</t>
  </si>
  <si>
    <t>AQ-RE-100001</t>
  </si>
  <si>
    <t>193</t>
  </si>
  <si>
    <t xml:space="preserve">شقة طابق ارضي مساحة 193 م2 في محافظة اربد منطقة الحي الشرقي تنظيم سكني ب_x000D_
</t>
  </si>
  <si>
    <t>AQ-RE-100859</t>
  </si>
  <si>
    <t>المعترض (8)</t>
  </si>
  <si>
    <t>270</t>
  </si>
  <si>
    <t xml:space="preserve"> شقة دوبلكس في محافظة اربد - الرابية - تنظيمها سكن ب - مساحتها الاجمالية 270 م2 (135 متر كل طابق)-  شارع الهمى - بناية الجبال_x000D_
</t>
  </si>
  <si>
    <t>AQ-BLD-100256</t>
  </si>
  <si>
    <t>مباني</t>
  </si>
  <si>
    <t>عقار تجاري</t>
  </si>
  <si>
    <t>الشيخ حسين (751)</t>
  </si>
  <si>
    <t>القليعات (4)</t>
  </si>
  <si>
    <t>الشيخ حسين</t>
  </si>
  <si>
    <t>335</t>
  </si>
  <si>
    <t>عقار تجاري مكون من طابقين ارضي وأول مقام على ارض مساحتها 335 م2 في محافظة اربد - الشونة الشمالية منطقة الشيخ حسين تنظيم تجاري محلي سكن ب وعبارة عن مخازن تجارية عدد 5 إضافة الى 3 شقق بمساحات مختلفة ويقع قرب نادي الشيخ حسين الرياضي و مسجد القليعات</t>
  </si>
  <si>
    <t>AQ-BLD-100639</t>
  </si>
  <si>
    <t>الرمثا (261)</t>
  </si>
  <si>
    <t>المصقرة (39)</t>
  </si>
  <si>
    <t>الرمثا</t>
  </si>
  <si>
    <t>1036</t>
  </si>
  <si>
    <t>عقار تجاري في محافظة اربد منطقة الرمثا التنظيم تجاري  عادي سكن ب مساحة الأرض 1036 مساحة البناء الاجمالية 860 م2</t>
  </si>
  <si>
    <t>AQ-BLD-100349</t>
  </si>
  <si>
    <t>المعلقة (8)</t>
  </si>
  <si>
    <t>المدينة الصناعية</t>
  </si>
  <si>
    <t>987</t>
  </si>
  <si>
    <t>عقار تجاري مكون من 5 طوابق مقام على ارض مساحتها 987 م2 في محافظة اربد - البارحة تنظيم تجاري طولي وعبارة عن مخازن تجارية عدد 5 ومستودعات تخزين إضافة الى 6 شقق بمساحات مختلفة ويقع شرق اشارة حنينا - مقابل محطة جوبترول للمحروقات</t>
  </si>
  <si>
    <t>AQ-BLD-100142</t>
  </si>
  <si>
    <t>عقار سكني</t>
  </si>
  <si>
    <t>ابدر (310)</t>
  </si>
  <si>
    <t>قرية حاتم</t>
  </si>
  <si>
    <t>521.64</t>
  </si>
  <si>
    <t xml:space="preserve">مساحة الأرض: 521.640 م2_x000D_
مساحة العقار الاجمالية : 90 م2_x000D_
عدد الطوابق : 1_x000D_
التنظيم : سكن ج_x000D_
الطابق الأرضي : مكون من غرفتين + مطبخ + حمام_x000D_
الموقع: اربد - قرية ابدر - قرب مسجد إبدر الكبير (زيد بن حارثه)_x000D_
</t>
  </si>
  <si>
    <t>AQ-BLD-100317</t>
  </si>
  <si>
    <t>293</t>
  </si>
  <si>
    <t>"عقار سكني في الشونة الشمالية - الشيخ حسين تنظيمه سكن ج_x000D_
مساحة الأرض 293 م2 ومساحة العقار الاجمالية 138 م2 _x000D_
مؤلف من طابق واحد مساحة 138 م2_x000D_
_x000D_
اربد -الشونة الشمالية - شارع الاغوار الرئيسي - قرب مسجد عمر بن الخطاب"</t>
  </si>
  <si>
    <t>AQ-BLD-100773</t>
  </si>
  <si>
    <t>زمال (279)</t>
  </si>
  <si>
    <t>492</t>
  </si>
  <si>
    <t>"عقار سكني في اربد -ازمال تنظيمه سكن د_x000D_
مساحة الأرض 492 م2 ومساحة العقار الاجمالية 106 م2 _x000D_
مؤلف من طابق واحد مساحة 106 م2_x000D_
_x000D_
اربد - ازمال قرب مسجد براء بن عازب"</t>
  </si>
  <si>
    <t>AQ-BLD-100883</t>
  </si>
  <si>
    <t>الخراج (176)</t>
  </si>
  <si>
    <t>صما</t>
  </si>
  <si>
    <t>121</t>
  </si>
  <si>
    <t>" شقة طابق أول في مدينة اربد - صما - تنظيمها سكن ب - مساحتها 120 م2 _x000D_
قرب مسجد الخراج"</t>
  </si>
  <si>
    <t>AQ-BLD-100336</t>
  </si>
  <si>
    <t>ابو سيدو (771)</t>
  </si>
  <si>
    <t>البلد (1)</t>
  </si>
  <si>
    <t>الشونة الشمالية</t>
  </si>
  <si>
    <t>240</t>
  </si>
  <si>
    <t>"عقار سكني في الشونة الشمالية  تظيمه سكن ج_x000D_
مساحة الأرض 240 م2 ومساحة العقار الاجمالية 176 م2 _x000D_
مؤلف من طابقين ( أرضي + اول) _x000D_
مساحة كل طابق 88 متر _x000D_
يوجد سور مبني على الواجهة الشرقية والجنوبية + بعض اشجار الليمون والنخيل_x000D_
_x000D_
اربد -  الشونة الشمالية - ابو سيدو - قرب شارع الغور الاردني"</t>
  </si>
  <si>
    <t>AQ-BLD-100715</t>
  </si>
  <si>
    <t>حكما (188)</t>
  </si>
  <si>
    <t>حكما</t>
  </si>
  <si>
    <t>299.94</t>
  </si>
  <si>
    <t>"عقار سكني في اربد - حكما  تظيمه تجاري_x000D_
مساحة الأرض 299.94 م2 ومساحة العقار الاجمالية 160 م2 _x000D_
مؤلف من طابق أرضي  يوجد بعض أشجار الزيتون على قطعة الارض وساحات خارجية_x000D_
حكما - وسط البلد - قرب مركز التدريب المهني"</t>
  </si>
  <si>
    <t>AQ-BLD-100685</t>
  </si>
  <si>
    <t>اراضي المزار الشمالي (18)</t>
  </si>
  <si>
    <t>دير يوسف (345)</t>
  </si>
  <si>
    <t>دير يوسف</t>
  </si>
  <si>
    <t>619.7</t>
  </si>
  <si>
    <t xml:space="preserve">عقار سكني في محافظة اربد منطقة دير يوسف التنظيم سكني ب مساحة الأرض 619.7 م2 مساحة البناء الاجمالية 135 م2_x000D_
</t>
  </si>
  <si>
    <t>AQ-BLD-100631</t>
  </si>
  <si>
    <t>الرفيد (313)</t>
  </si>
  <si>
    <t>البرنس (26)</t>
  </si>
  <si>
    <t>أخرى</t>
  </si>
  <si>
    <t>1046</t>
  </si>
  <si>
    <t>"عقار سكني في اربد الرفيد تنظيمه سكن ب_x000D_
مساحة الأرض 1046 م2 ومساحة العقار الاجمالية 110 م2 _x000D_
مؤلف من طابق واحد مساحة 106 م2_x000D_
_x000D_
اربد -بني كنانة - قرب مدرسة الرفيد"</t>
  </si>
  <si>
    <t>AQ-BLD-100334</t>
  </si>
  <si>
    <t>البلد (12)</t>
  </si>
  <si>
    <t>231</t>
  </si>
  <si>
    <t>عقار سكني في محافظة اربد منطقة الحصن التنظيم سكني ج مساحة الأرض 231 مساحة البناء الاجمالية 295 م2</t>
  </si>
  <si>
    <t>AQ-BLD-100714</t>
  </si>
  <si>
    <t>835.94</t>
  </si>
  <si>
    <t>"عقار سكني في اربد -حكما تنظيمه سكن د_x000D_
مساحة الأرض 835 م2 ومساحة العقار الاجمالية 298 م2 _x000D_
مؤلف من 2 طوابق ( تسوية + ارضي )_x000D_
_x000D_
اربد - حكما قرب مركز التدريب المهني"</t>
  </si>
  <si>
    <t>AQ-BLD-101159</t>
  </si>
  <si>
    <t>حي المنارة</t>
  </si>
  <si>
    <t>164</t>
  </si>
  <si>
    <t xml:space="preserve">عقار سكني في محافظة اربد منطقة القصيلة التنظيم سكني ب مساحة الأرض 164 مساحة البناء الاجمالية 285 م2_x000D_
</t>
  </si>
  <si>
    <t>AQ-BLD-100165</t>
  </si>
  <si>
    <t>النعيمه (180)</t>
  </si>
  <si>
    <t>البلد (27)</t>
  </si>
  <si>
    <t>النعيمة</t>
  </si>
  <si>
    <t>617</t>
  </si>
  <si>
    <t>"عقار سكني في اربد - النعيمة  تظيمه سكن ج  _x000D_
مساحة الأرض 617 م2 ومساحة العقار الاجمالية 371 م2 _x000D_
مؤلف من 3 طوابق ( تسوية + ارضي + اول ) كل طابق عبارة عن شقة  سكنية يحيط بالقطعة سور بارتفاعات متفاوتة ويوجد ساحات مبلطة بلاط اسمنتي _x000D_
النعيمة - قرب مسجد جبر البركات وبجانب مسجد قاسم خصاونة"</t>
  </si>
  <si>
    <t>AQ-BLD-100338</t>
  </si>
  <si>
    <t>214</t>
  </si>
  <si>
    <t>عقار سكني في اربد - البارحة  تظيمه سكن د  خاص _x000D_
مساحة الأرض 214 م2 ومساحة العقار الاجمالية 600 م2 _x000D_
مؤلف من 3 طوابق ( ارضي + اول + ثاني ) كل طابق مساحة 200 م2 عبارة عن شقتين_x000D_
اربد - قرب مستشفى الاميرة  بسمة"</t>
  </si>
  <si>
    <t>AQ-BLD-100885</t>
  </si>
  <si>
    <t>كفر اسد (205)</t>
  </si>
  <si>
    <t>الديارات (24)</t>
  </si>
  <si>
    <t>كفر أسد</t>
  </si>
  <si>
    <t>366</t>
  </si>
  <si>
    <t>عقار سكني في اربد - كفر أسد  تظيمه سكن د_x000D_
مساحة الأرض 366 م2 ومساحة العقار الاجمالية 480 م2 _x000D_
مؤلف من 3 طوابق ( تسوية + أرضي + اول)_x000D_
_x000D_
اربد - كفرأسد قرب مدرسة بنات كفرأسد</t>
  </si>
  <si>
    <t>AQ-BLD-100533</t>
  </si>
  <si>
    <t>المعترض الغربي (16)</t>
  </si>
  <si>
    <t>355</t>
  </si>
  <si>
    <t>"عقار سكني في اربد - المنارة  تظيمه سكن ب  _x000D_
مساحة الأرض 355 م2 ومساحة العقار الاجمالية 292 م2 _x000D_
مؤلف من 2 طوابق ( ارضي + اول ) كل طابق عبارة عن شقة  سكنية كما يتوفر طابق ثاني عبارة عن غرفة غسيل مساحة 21 م2 يوجد بالمساحات الخارجية خزان ماء من الخرسانة وبعض الاشجار المثمرة + محاطة بالأسوار_x000D_
اربد - قرب محطة الأثير للمحروقات"</t>
  </si>
  <si>
    <t>AQ-BLD-100722</t>
  </si>
  <si>
    <t>البلد (23)</t>
  </si>
  <si>
    <t>1283</t>
  </si>
  <si>
    <t>عقار سكني في محافظة اربد منطقة الطرة التنظيم تجاري محلي سكن د مساحة الأرض 1283 مساحة البناء الاجمالية 140 م2</t>
  </si>
  <si>
    <t>AQ-BLD-100337</t>
  </si>
  <si>
    <t>طبول كوتيه (17)</t>
  </si>
  <si>
    <t>819</t>
  </si>
  <si>
    <t>عقار سكني في محافظة اربد منطقة الحصن التنظيم سكني ب مساحة الأرض 819 مساحة البناء الاجمالية 340 م2</t>
  </si>
  <si>
    <t>AQ-BLD-100767</t>
  </si>
  <si>
    <t>المردمه الجنوبية (5)</t>
  </si>
  <si>
    <t>464</t>
  </si>
  <si>
    <t>"عقار سكني في اربد -  تظيمه سكن د  مساحة الأرض 464 م2 ومساحة العقار الاجمالية 699 م2 _x000D_
مؤلف من 3 طوابق ( ارضي + اول + ثاني ) كل طابق عبارة عن شقة  طابقية_x000D_
اربد - قرب دوار سال الكبير"</t>
  </si>
  <si>
    <t>AQ-BLD-100339</t>
  </si>
  <si>
    <t>ام الدفاتر (24)</t>
  </si>
  <si>
    <t>بشرى</t>
  </si>
  <si>
    <t>1373</t>
  </si>
  <si>
    <t>عقار سكني في محافظة اربد مدينة الرمثا التنظيم سكني ب مساحة الأرض 1373 مساحة البناء الاجمالية 580 م2</t>
  </si>
  <si>
    <t>AQ-BLD-100748</t>
  </si>
  <si>
    <t>340</t>
  </si>
  <si>
    <t>عقار سكني في محافظة اربد - منطقة النزهة - ومؤلف من 3 طوابق (تسوية + ارضي + اول) - تنظيمه سكن ج - مساحة الأرض 340 م2 ومساحة البناء الاجمالية 535 م2 - يقع في اربد - قرب قصر العدل</t>
  </si>
  <si>
    <t>AQ-BLD-101033</t>
  </si>
  <si>
    <t>الجلمة (38)</t>
  </si>
  <si>
    <t>1834</t>
  </si>
  <si>
    <t>"عقار سكني في الرمثا - تظيمه سكن أ_x000D_
مساحة الأرض 1834 م2 ومساحة العقار الاجمالية 527 م2 _x000D_
مؤلف من بنائين منفصلات _x000D_
يحيط بالقطعة سور واجهتين حجر وشيك لباقي الواجهات + اشجار زيتون بالجزء الجنوبي من الأرض_x000D_
الرمثا - جنوب مدرسة الأمة النموذجية"</t>
  </si>
  <si>
    <t>AQ-BLD-100175</t>
  </si>
  <si>
    <t>دوار الدرة</t>
  </si>
  <si>
    <t>852</t>
  </si>
  <si>
    <t xml:space="preserve">عقار سكني في اربد - منطقة الروضة و مؤلف من 4 طوابق   مساحة الأرض 852 م2 ومساحة العقار الاجمالية 1159 م2 ويقع جنوب دوار محمد الدرة - بجانب مسجد الغفران </t>
  </si>
  <si>
    <t>AQ-BLD-101186</t>
  </si>
  <si>
    <t>فلل</t>
  </si>
  <si>
    <t>الكوخ (37)</t>
  </si>
  <si>
    <t>1093</t>
  </si>
  <si>
    <t xml:space="preserve">فيلا تقع في الرمثا التنظيم السكني ج مساحة القطعة 1093 م2_x000D_
</t>
  </si>
  <si>
    <t>AQ-BLD-100151</t>
  </si>
  <si>
    <t>فلل ومزارع</t>
  </si>
  <si>
    <t>عصارة تلاع الكرك (4)</t>
  </si>
  <si>
    <t>12938</t>
  </si>
  <si>
    <t>فيلا ومزرعة في محافظة اربد منطقة النعيمة - شطنا تنظيمها زراعي مقامة على قطعة ارض مساحتها 12938 م2 و مؤلفة من عدة ابنية مساحتها الاجمالية 418 م2 - - بالقرب من حديقة ذوقان الهنداوي - على شارع النعيمة - شطنا</t>
  </si>
  <si>
    <t>AQ-LND-100109</t>
  </si>
  <si>
    <t>أراضي</t>
  </si>
  <si>
    <t>قطع اراضي</t>
  </si>
  <si>
    <t>المخيبه التحتا (315)</t>
  </si>
  <si>
    <t>المزرعه الشرقي (6)</t>
  </si>
  <si>
    <t>المخيبة التحتة</t>
  </si>
  <si>
    <t>417</t>
  </si>
  <si>
    <t>مساحة الأرض: 417 م2_x000D_
التنظيم: سكن د_x000D_
قطعة الارض من نوع ملك ومثلثة الشكل ويحدها شارع 10 م من الواجهة الغربية وشارع 6 م من الواجهة الشرقية وغير مفتوح وشارع 10 م من الواجهة الشمالية مفتوح ومعبد_x000D_
بيانات اضافية: يوجد على القطعة بعض من اشجار الزيتون_x000D_
الموقع: اربد - بلدية خالد بن الوليد - بالقرب مدرسة المخيبة التحت الثانوية للبنين - شارع البساتين</t>
  </si>
  <si>
    <t>AQ-LND-100245</t>
  </si>
  <si>
    <t>بيت يافا (184)</t>
  </si>
  <si>
    <t>حلان المسكين (6)</t>
  </si>
  <si>
    <t>بيت يافا</t>
  </si>
  <si>
    <t>903</t>
  </si>
  <si>
    <t>قطعة ارض سليخ من نوع ملك و مساحنها 903 م2 و منتظمة الشكل وخالية من الانشاءات والابنية وهي داخل التنظيم وتنظيمها سكن ج تقع ضمن حدود بلدية غرب اربد الكبرى - منطقة بيت يافا ويحدها شارع 10 متر على طول واجهتها الشرقية غير مفتوح وتميل ميلا خفيفا من الشمال الى الجنوب ومتوفر كافة الخدمات_x000D_
_x000D_
منطقة بيت يافا - شارع اربد الكورة - قرب مسجد خليل الرحمن</t>
  </si>
  <si>
    <t>AQ-LND-100246</t>
  </si>
  <si>
    <t>1419</t>
  </si>
  <si>
    <t>قطعة ارض سليخ من نوع ملك و مساحنها 1419 م2 و منتظمة الشكل وخالية من الانشاءات والابنية وهي داخل التنظيم وتنظيمها سكن ج تقع ضمن حدود بلدية غرب اربد الكبرى - منطقة بيت يافا ويحدها شارع 16 متر على ول واجهتها الشمالية قسم منه مفتوح ومعبد ومتوفر كافة الخدمات_x000D_
منطقة بيت يافا - شارع اربد الكورة - قرب مسجد خليل الرحمن</t>
  </si>
  <si>
    <t>AQ-LND-101061</t>
  </si>
  <si>
    <t>السريج (26)</t>
  </si>
  <si>
    <t>البلد</t>
  </si>
  <si>
    <t>809.280</t>
  </si>
  <si>
    <t xml:space="preserve">قطعة ارض في محافظة اربد منطقة البلد التنظيم سكني ب مساحة الأرض 809.280 م2_x000D_
</t>
  </si>
  <si>
    <t>AQ-LND-100227</t>
  </si>
  <si>
    <t>دير ابي سعيد الغربي (278)</t>
  </si>
  <si>
    <t>بلوطه (12)</t>
  </si>
  <si>
    <t>5211</t>
  </si>
  <si>
    <t>محافظة اربد - اراضي دير ابي سعيد - قرية دير ابي سعيد الغربي - حوض بلوطة 12 - مساحتها - 5,211 م2 منتظمة الشكل ومنظمة سكن أ وتقع على شارعين</t>
  </si>
  <si>
    <t>AQ-LND-100225</t>
  </si>
  <si>
    <t>الرفيف (10)</t>
  </si>
  <si>
    <t>103453</t>
  </si>
  <si>
    <t xml:space="preserve">محافظة اربد - اراضي دير ابي سعيد - قرية دير ابي سعيد الغربي - حوض الرفيف 10 - مساحتها - 103,453 م2 خارج التنظيم مختلفة التضاريس والقطعة مطلة ومرتفعة_x000D_
</t>
  </si>
  <si>
    <t>AQ-BLD-100268</t>
  </si>
  <si>
    <t>منزل مستقل</t>
  </si>
  <si>
    <t>ملكا (331)</t>
  </si>
  <si>
    <t>بلد الباشا الجنوبي (80)</t>
  </si>
  <si>
    <t>ملكا</t>
  </si>
  <si>
    <t>613.930</t>
  </si>
  <si>
    <t>منزل مستقل مكون من طابق واحد - مساحة الأرض 613.930 م2 ومساحة البناء الاجمالية 610 م2 في محافظة اربد منطقة ملكا تنظيم سكني ج بالقرب من مسجد البلدة</t>
  </si>
  <si>
    <t>AQ-BLD-100143</t>
  </si>
  <si>
    <t>فوعره (200)</t>
  </si>
  <si>
    <t>جدار البلد (3)</t>
  </si>
  <si>
    <t>502</t>
  </si>
  <si>
    <t>منزل مستقل مكون من طابقين ارضي واول - مساحة الأرض 502 م2 ومساحة البناء الاجمالية 280 م2 في محافظة اربد منطقة فوعرا تنظيم سكني د بالقرب من مدرسة فوعرا للبنات</t>
  </si>
  <si>
    <t>AQ-BLD-100466</t>
  </si>
  <si>
    <t>هناجر</t>
  </si>
  <si>
    <t>جلهم (36)</t>
  </si>
  <si>
    <t>1774.000</t>
  </si>
  <si>
    <t>"أرض مقام عليها هنجر للبيع في الرمثا تنظيمها سكن ج _x000D_
مساحة الأرض 1774 م2_x000D_
مساحة الهنجر 178 م2 _x000D_
_x000D_
 الرمثا - قرب مسجد ابو عبيدة - بجانب مقبرة ليلى الإسلامية"</t>
  </si>
  <si>
    <t>AQ-RE-100656</t>
  </si>
  <si>
    <t>محافظة البلقاء</t>
  </si>
  <si>
    <t>اراضي السلط (22)</t>
  </si>
  <si>
    <t>السلط (392)</t>
  </si>
  <si>
    <t>البحيرة (43)</t>
  </si>
  <si>
    <t>السلالم</t>
  </si>
  <si>
    <t>94.000</t>
  </si>
  <si>
    <t xml:space="preserve"> شقة طابق ثالث في مدينة السلط - البحيرة - تنظيمها سكن أ - مساحتها 94 م2 قرب مسجد انس بن مالك _x000D_
</t>
  </si>
  <si>
    <t>AQ-RE-100660</t>
  </si>
  <si>
    <t>البقعان (42)</t>
  </si>
  <si>
    <t>البلقاء</t>
  </si>
  <si>
    <t>183</t>
  </si>
  <si>
    <t xml:space="preserve"> شقة طابق تسوية في مدينة السلط - إسكان المهندسين - تنظيمها سكن أ - مساحتها 183 م2 - قرب مدرسة قلعة السلط_x000D_
</t>
  </si>
  <si>
    <t>AQ-RE-100572</t>
  </si>
  <si>
    <t>-2</t>
  </si>
  <si>
    <t xml:space="preserve"> شقة طابق تسوية في مدينة السلط - البحيرة - تنظيمها سكن أ - مساحتها 169 م2 - قرب مديرية وزارة الاشغال العامة_x000D_
</t>
  </si>
  <si>
    <t>AQ-RE-100698</t>
  </si>
  <si>
    <t>226</t>
  </si>
  <si>
    <t xml:space="preserve"> شقة طابق تسوية في مدينة السلط - تنظيمها سكن أ - مساحتها 226 م2 - بجانب سوبر ماركت المدير_x000D_
</t>
  </si>
  <si>
    <t>AQ-RE-100105</t>
  </si>
  <si>
    <t>169</t>
  </si>
  <si>
    <t>AQ-RE-100347</t>
  </si>
  <si>
    <t>170</t>
  </si>
  <si>
    <t xml:space="preserve">شقة طابق تسوية مساحة 170 م2 في محافظة البلقاء البحيرة - السلط تنظيم سكني أ_x000D_
</t>
  </si>
  <si>
    <t>AQ-RE-100012</t>
  </si>
  <si>
    <t>208</t>
  </si>
  <si>
    <t xml:space="preserve"> شقة طابق ارضي في مدينة السلط - البحيرة - تنظيمها سكن أ - مساحتها 208 م2 - حي السلالم - شارع الروابي - مقابل مسجد انس بن مالك</t>
  </si>
  <si>
    <t>AQ-BLD-100488</t>
  </si>
  <si>
    <t>البلد (67)</t>
  </si>
  <si>
    <t>14.500</t>
  </si>
  <si>
    <t xml:space="preserve">عقار سكني في محافظة البلقاء منطقة البلقاء التنظيم سكني د مساحة الأرض 29.610 مساحة البناء الاجمالية 29.610 م2_x000D_
</t>
  </si>
  <si>
    <t>AQ-BLD-100329</t>
  </si>
  <si>
    <t>اراضي الشونة الجنوبية (23)</t>
  </si>
  <si>
    <t>غور الكفرين (412)</t>
  </si>
  <si>
    <t>منسف ابو زيد (29)</t>
  </si>
  <si>
    <t>الشونه الجنوبيه</t>
  </si>
  <si>
    <t>284</t>
  </si>
  <si>
    <t xml:space="preserve">عقار سكني في محافظة البلقاء - الشونة الجنوبية تنظيم سكني د مكون من طابق واحد مقام على ارض مساحتها 284 م2 ومساحة البناء الاجمالية 100 م2 ويقع قرب مدرسة الروضة الأساسية المختلطة_x000D_
</t>
  </si>
  <si>
    <t>AQ-BLD-100152</t>
  </si>
  <si>
    <t>الكرامة (756)</t>
  </si>
  <si>
    <t>البلد الغربي (4)</t>
  </si>
  <si>
    <t>288</t>
  </si>
  <si>
    <t xml:space="preserve">عقار سكني في محافظة البلقاء - الشونة الجنوبية تنظيم سكني ج مكون من طابقين ارضي واول مقام على ارض مساحتها 288 م2 ومساحة البناء الاجمالية 231 م2 ويقع في الحي الغربي لقرية الكرامة وعلى بعد 450 متر من مسجد شهداء الكرامة_x000D_
</t>
  </si>
  <si>
    <t>AQ-BLD-101242</t>
  </si>
  <si>
    <t>غور نمرين (409)</t>
  </si>
  <si>
    <t>الهلالي (26)</t>
  </si>
  <si>
    <t>526</t>
  </si>
  <si>
    <t xml:space="preserve">عقار سكني في محافظة البلقاء منطقة البلقاء التنظيم سكني د مساحة الأرض 526 مساحة البناء الاجمالية 163 م2_x000D_
</t>
  </si>
  <si>
    <t>AQ-BLD-100954</t>
  </si>
  <si>
    <t>السكنه (35)</t>
  </si>
  <si>
    <t>591</t>
  </si>
  <si>
    <t xml:space="preserve">عقار سكني في محافظة البلقاء - الشونة الجنوبية تنظيم سكن مكون من طابقين ارضي واول مقام على ارض مساحتها 591 م2 ومساحة البناء الاجمالية 220 م2 ويقع قرب مسجد الشونة الجنوبية الكبير_x000D_
</t>
  </si>
  <si>
    <t>AQ-BLD-100846</t>
  </si>
  <si>
    <t>حجر الطايح (82)</t>
  </si>
  <si>
    <t>المغاريب</t>
  </si>
  <si>
    <t>301.910</t>
  </si>
  <si>
    <t>عقار سكني في محافظة البلقاء منطقة المغاريب التنظيم سكني شعبي مساحة الأرض 301.910 مساحة البناء الاجمالية 325 م2</t>
  </si>
  <si>
    <t>AQ-BLD-100913</t>
  </si>
  <si>
    <t>سيحان (403)</t>
  </si>
  <si>
    <t>مروج سيحان (8)</t>
  </si>
  <si>
    <t>854</t>
  </si>
  <si>
    <t xml:space="preserve">عقار سكني في محافظة البلقاء - السلط تنظيم سكني ب مكون من طابقين مقام على ارض مساحتها 854 م2 ومساحة البناء الاجمالية 398 م2 ويقع قرب مسجد سيحان الكبير و دوار سيحان_x000D_
</t>
  </si>
  <si>
    <t>AQ-BLD-100153</t>
  </si>
  <si>
    <t>عرقوب الخاخه (38)</t>
  </si>
  <si>
    <t>11961.980</t>
  </si>
  <si>
    <t xml:space="preserve">عقار سكني قيد الانشاء في محافظة البلقاء - السلط تنظيم زراعي خارج حدود التنظيم مكون من 3 طوابق مقام على ارض مساحتها 11962 م2 ومساحة البناء الاجمالية 1000 م2 ويقع قرب محكمة بداية السلط_x000D_
</t>
  </si>
  <si>
    <t>AQ-BLD-100291</t>
  </si>
  <si>
    <t>السرو الجنوبي (53)</t>
  </si>
  <si>
    <t>السرو</t>
  </si>
  <si>
    <t>2165</t>
  </si>
  <si>
    <t>فيلا في محافظة البلقاء - السلط منطقة السرو تنظيمها متعدد الاستعمال مقامة على قطعة ارض مساحتها 2165 م2 و مؤلفة من 4 طوابق ويوجد ساحات ومساحة البناء الاجمالية 788 م2 - خلف BIG Sale للأثاث - بالقرب من Dr Jeans للملابس</t>
  </si>
  <si>
    <t>AQ-LND-100203</t>
  </si>
  <si>
    <t>مزرعة سويمة (415)</t>
  </si>
  <si>
    <t>سويمة الشمالي (1)</t>
  </si>
  <si>
    <t>سويمة</t>
  </si>
  <si>
    <t>249.960</t>
  </si>
  <si>
    <t>محافظة البلقاء - اراضي الشونة الجنوبية - قرية مزرعة سويمة - حوض سويمة الشمالي 1 - مساحتها - 249.96 م2 تنظيم سكن د ومنتظمة الشكل ومخدومة بكافة الخدمات</t>
  </si>
  <si>
    <t>AQ-LND-100205</t>
  </si>
  <si>
    <t>محافظة البلقاء - اراضي الشونة الجنوبية - قرية مزرعة سويمة - حوض سويمة الشمالي 1 - مساحتها - 249.960 م2 تنظيم سكن د ومنتظمة الشكل ومخدومة بكافة الخدمات</t>
  </si>
  <si>
    <t>AQ-LND-100206</t>
  </si>
  <si>
    <t>AQ-LND-100134</t>
  </si>
  <si>
    <t>علان (404)</t>
  </si>
  <si>
    <t>ام عسكر (6)</t>
  </si>
  <si>
    <t>علان</t>
  </si>
  <si>
    <t>1379.950</t>
  </si>
  <si>
    <t>مساحة الأرض: 1,380 م2_x000D_
التنظيم: سكن ب_x000D_
بيانات إضافية:نوع ملك قريبة من الخدمات و منتظمة الشكل ويوجد بها ميلا ويوجد على حدها روض صغير_x000D_
الموقع: محافظة السلط - منطقة بلدية علان بالقرب من مدرسة علان الأساسية</t>
  </si>
  <si>
    <t>AQ-LND-100494</t>
  </si>
  <si>
    <t>بيوضة (398)</t>
  </si>
  <si>
    <t>المسيكرانة (7)</t>
  </si>
  <si>
    <t>1100.000</t>
  </si>
  <si>
    <t>أرض مساحتها 1100 متر ضمن حدود بلدية العارضة الجديدة - منطقة بيوضة تنظيمها سكن ب ._x000D_
واصلها جميع الخدمات منتظمة الشكل , كاشفة ومطلة مزروعة ببعض أشجار الزيتون</t>
  </si>
  <si>
    <t>AQ-LND-100199</t>
  </si>
  <si>
    <t>444.4</t>
  </si>
  <si>
    <t>ارض مساحتها - 444.4 م2 تنظيم سكن د ومنتظمة الشكل ومخدومة بكافة الخدمات</t>
  </si>
  <si>
    <t>AQ-LND-100453</t>
  </si>
  <si>
    <t>الروسات (3)</t>
  </si>
  <si>
    <t>5250</t>
  </si>
  <si>
    <t>ارض مساحتها 5250 م2_x000D_
تنظيمها سكن أ في منطقة الشونة الجنوبية - على بعد 900 متر من الجهة الشمالية الغربية لتقاطع وسط الشونة</t>
  </si>
  <si>
    <t>AQ-RE-100663</t>
  </si>
  <si>
    <t>محافظة الزرقاء</t>
  </si>
  <si>
    <t>اراضي محافظة الزرقاء (19)</t>
  </si>
  <si>
    <t>ازرق الدروز (الشمالي) (352)</t>
  </si>
  <si>
    <t>القصر (3)</t>
  </si>
  <si>
    <t>الأزرق</t>
  </si>
  <si>
    <t>شقة في محافظة الزرقاء منطقة الأزرق الشمالي التنظيم سكني ج  بمساحة 109 م2</t>
  </si>
  <si>
    <t>AQ-RE-100629</t>
  </si>
  <si>
    <t>عطل الرصيفه (383)</t>
  </si>
  <si>
    <t>رجم الجيش (3)</t>
  </si>
  <si>
    <t>الرصيفة</t>
  </si>
  <si>
    <t>85</t>
  </si>
  <si>
    <t>شقة طابق اول في محافظة الزرقاء منطقة الرصيفة التنظيم سكني د بمساحة 85 م2</t>
  </si>
  <si>
    <t>AQ-RE-100110</t>
  </si>
  <si>
    <t>الهاشمية (365)</t>
  </si>
  <si>
    <t>الودي الغربي (7)</t>
  </si>
  <si>
    <t>الهاشمية</t>
  </si>
  <si>
    <t xml:space="preserve">شقة طابق ثاني مساحة 122 م2 في محافظة الزرقاء منطقة الهاشمية تنظيم سكني د_x000D_
</t>
  </si>
  <si>
    <t>AQ-RE-100177</t>
  </si>
  <si>
    <t>العبدلية (684)</t>
  </si>
  <si>
    <t>بسمان (2)</t>
  </si>
  <si>
    <t>مدينة الشرق</t>
  </si>
  <si>
    <t>91</t>
  </si>
  <si>
    <t xml:space="preserve">شقة طابق اول مساحة 91 م2 في محافظة الزرقاء منطقة مدينة الشرق تنظيم سكني تطوير حضري _x000D_
</t>
  </si>
  <si>
    <t>AQ-RE-100489</t>
  </si>
  <si>
    <t>الزرقاء (349)</t>
  </si>
  <si>
    <t>وادي الحجر (13)</t>
  </si>
  <si>
    <t>جبل طارق</t>
  </si>
  <si>
    <t>101.000</t>
  </si>
  <si>
    <t xml:space="preserve">شقة طابق ارضي مساحة 101 م2 في محافظة الزرقاء منطقة جبل طارق تنظيم سكني تطوير حضري _x000D_
</t>
  </si>
  <si>
    <t>AQ-RE-100540</t>
  </si>
  <si>
    <t>عطل الزرقاء و الرصيفه (373)</t>
  </si>
  <si>
    <t>ام بياضة (10)</t>
  </si>
  <si>
    <t>ضاحية مكة المكرمة</t>
  </si>
  <si>
    <t>84</t>
  </si>
  <si>
    <t xml:space="preserve">شقة طابق اول مساحة 84 م2 في محافظة الزرقاء منطقة ضاحية مكة المكرمة تنظيم سكني ج_x000D_
</t>
  </si>
  <si>
    <t>AQ-RE-100630</t>
  </si>
  <si>
    <t>108</t>
  </si>
  <si>
    <t>شقة في محافظة الزرقاء منطقة ماركا التنظيم سكني د  بمساحة 108 م2</t>
  </si>
  <si>
    <t>AQ-RE-100509</t>
  </si>
  <si>
    <t xml:space="preserve">شقة طابق اول مساحة 101 م2 في محافظة الزرقاء منطقة جبل طارق تنظيم سكني تطوير حضري </t>
  </si>
  <si>
    <t>AQ-RE-100469</t>
  </si>
  <si>
    <t xml:space="preserve">شقة طابق اول مساحة 113 م2 في محافظة الزرقاء منطقة مدينة الشرق تنظيم سكني تطوير حضري </t>
  </si>
  <si>
    <t>AQ-RE-100579</t>
  </si>
  <si>
    <t>113</t>
  </si>
  <si>
    <t xml:space="preserve">شقة طابق ارضي مساحة 113 م2 في محافظة الزرقاء منطقة مدينة الشرق تنظيم سكني تطوير حضري_x000D_
</t>
  </si>
  <si>
    <t>AQ-RE-100515</t>
  </si>
  <si>
    <t>108.000</t>
  </si>
  <si>
    <t xml:space="preserve">شقة طابق ثاني مساحة 108 م2 في محافظة الزرقاء منطقة مدينة الشرق تنظيم سكني احكام خاصة_x000D_
</t>
  </si>
  <si>
    <t>AQ-RE-100847</t>
  </si>
  <si>
    <t xml:space="preserve">شقة طابق ثاني مساحة 113 م2 في محافظة الزرقاء منطقة مدينة الشرق تنظيم سكني تطوير حضري _x000D_
</t>
  </si>
  <si>
    <t>AQ-RE-100914</t>
  </si>
  <si>
    <t xml:space="preserve">شقة طابق اول مساحة 108 م2 في محافظة الزرقاء منطقة مدينة الشرق تنظيم سكني شعبي_x000D_
</t>
  </si>
  <si>
    <t>AQ-RE-100575</t>
  </si>
  <si>
    <t>البتراوي (355)</t>
  </si>
  <si>
    <t>البتراوي الجنوبي (4)</t>
  </si>
  <si>
    <t>اسكان البتراوي</t>
  </si>
  <si>
    <t xml:space="preserve">شقة طابق تسوية مساحة 110 م2 في محافظة الزرقاء منطقة اسكان البتراوي تنظيم سكني ب_x000D_
</t>
  </si>
  <si>
    <t>AQ-RE-100135</t>
  </si>
  <si>
    <t xml:space="preserve">شقة طابق ثاني مساحة 122 م2 في محافظة الزرقاء منطقة اسكان البتراوي تنظيم سكني ب_x000D_
</t>
  </si>
  <si>
    <t>AQ-RE-100333</t>
  </si>
  <si>
    <t>اتوستراد</t>
  </si>
  <si>
    <t xml:space="preserve">شقة طابق ثالث مساحة 110 م2 في محافظة الزرقاء منطقة الاتوستراد تنظيم سكني ج_x000D_
</t>
  </si>
  <si>
    <t>AQ-RE-100351</t>
  </si>
  <si>
    <t>بركة برخ (7)</t>
  </si>
  <si>
    <t>الزرقاء الجديدة</t>
  </si>
  <si>
    <t>147</t>
  </si>
  <si>
    <t xml:space="preserve">شقة طابق ثالث مساحة 147 م2 في محافظة الزرقاء منطقة الزرقاء الجديدة تنظيم سكني ب_x000D_
</t>
  </si>
  <si>
    <t>AQ-RE-100570</t>
  </si>
  <si>
    <t>السخنه (358)</t>
  </si>
  <si>
    <t>قحويان (6)</t>
  </si>
  <si>
    <t>السخنة</t>
  </si>
  <si>
    <t>177</t>
  </si>
  <si>
    <t xml:space="preserve">شقة طابق اول مساحة 177 م2 في محافظة الزرقاء منطقة السخنة تنظيم سكني ب_x000D_
</t>
  </si>
  <si>
    <t>AQ-RE-100026</t>
  </si>
  <si>
    <t xml:space="preserve"> شقة طابق ثالث في منطقة ماركا الشمالية - تنظيمها سكن ج - مساحتها 110 م2 - قرب جامع جنة الابرار - مقابل دكان خضر الجمل _x000D_
</t>
  </si>
  <si>
    <t>AQ-RE-100917</t>
  </si>
  <si>
    <t xml:space="preserve">شقة طابق اول مساحة 143 م2 في محافظة الزرقاء منطقة اسكان البتراوي تنظيم سكني ب_x000D_
</t>
  </si>
  <si>
    <t>AQ-RE-100957</t>
  </si>
  <si>
    <t>شقة طابق ثالث في محافظة الزرقاء منطقة اسكان البتراوي التنظيم سكني ب بمساحة 139 م2</t>
  </si>
  <si>
    <t>AQ-RE-100447</t>
  </si>
  <si>
    <t>131</t>
  </si>
  <si>
    <t xml:space="preserve">شقة طابق اول مساحة 131 م2 في محافظة الزرقاء منطقة جبل طارق تنظيم سكني احكام خاصة_x000D_
</t>
  </si>
  <si>
    <t>AQ-RE-100277</t>
  </si>
  <si>
    <t>154</t>
  </si>
  <si>
    <t xml:space="preserve">شقة طابق اول مساحة 154 م2 في محافظة الزرقاء منطقة اسكان البتراوي تنظيم تجاري معارض_x000D_
</t>
  </si>
  <si>
    <t>AQ-RE-100665</t>
  </si>
  <si>
    <t>AQ-RE-100918</t>
  </si>
  <si>
    <t>AQ-RE-101179</t>
  </si>
  <si>
    <t xml:space="preserve">شقة طابق ارضي في محافظة الزرقاء منطقة اسكان البتراوي التنظيم سكني ب بمساحة 125 م2_x000D_
</t>
  </si>
  <si>
    <t>AQ-RE-101181</t>
  </si>
  <si>
    <t xml:space="preserve">شقة طابق ارضي في محافظة الزرقاء منطقة البتراوي التنظيم سكني ب بمساحة 131 م2_x000D_
</t>
  </si>
  <si>
    <t>AQ-RE-100958</t>
  </si>
  <si>
    <t>شقة طابق ثالث في محافظة الزرقاء منطقة اسكان البتراوي التنظيم سكني ب بمساحة 150 م2</t>
  </si>
  <si>
    <t>AQ-RE-101138</t>
  </si>
  <si>
    <t xml:space="preserve">شقة طابق ثالث في محافظة الزرقاء منطقة البتراوي التنظيم سكني ج بمساحة 196 م2_x000D_
</t>
  </si>
  <si>
    <t>AQ-RE-101137</t>
  </si>
  <si>
    <t>197</t>
  </si>
  <si>
    <t xml:space="preserve">شقة طابق ثالث في محافظة الزرقاء منطقة البتراوي التنظيم سكني ج بمساحة 197 م2_x000D_
</t>
  </si>
  <si>
    <t>AQ-RE-101160</t>
  </si>
  <si>
    <t>186</t>
  </si>
  <si>
    <t xml:space="preserve">شقة طابق ارضي في محافظة الزرقاء منطقة اسكان البتراوي التنظيم سكني ب بمساحة 186 م2_x000D_
</t>
  </si>
  <si>
    <t>AQ-BLD-100916</t>
  </si>
  <si>
    <t>500</t>
  </si>
  <si>
    <t xml:space="preserve">عقار تجاري في محافظة الزرقاء منطقة البتراوي تنظيم معارض تجارية مع ارتداد امامي مسقوف مكون من 3 طوابق ارضي واول وثاني  مساحة الارض 500 م2 ومساحة العقار الاجمالية 430 م2 قرب كازية المناصير _x000D_
الطابق الأرضي: بمساحة 170 م2 عبارة عن مخازن عدد 3 وشقة خلفية_x000D_
الطابق الاول:  بمساحة 170 م2 عبارة عن شقة سكنية_x000D_
الطابق الثاني بناء صغير بمساحة 30 م2_x000D_
</t>
  </si>
  <si>
    <t>AQ-BLD-100747</t>
  </si>
  <si>
    <t>مزرعة قصرالحلابات (376)</t>
  </si>
  <si>
    <t>النواصف الغربي (10)</t>
  </si>
  <si>
    <t>قصر الحلابات الغربي</t>
  </si>
  <si>
    <t>358.62</t>
  </si>
  <si>
    <t xml:space="preserve">عقار سكني يقع في محافظة الزرقاء في منطقة قصر الحلابات منطقة أبو هويدي التنظيم السكني ب مساحة القطعة 358.62 م2 مساحة البناء الاجمالية 110 م2_x000D_
</t>
  </si>
  <si>
    <t>AQ-BLD-100517</t>
  </si>
  <si>
    <t>قاع خنا (375)</t>
  </si>
  <si>
    <t>مريقب الفهود (23)</t>
  </si>
  <si>
    <t>قصر الحلابات الشرقي</t>
  </si>
  <si>
    <t>10092.000</t>
  </si>
  <si>
    <t>"محافظة الزرقاء - أراضي الزرقاء - قرية قاع خنا_x000D_
_x000D_
مساحة الأرض: 10092 م2_x000D_
التنظيم: خارج التنظيم_x000D_
_x000D_
شرق جسر قصر الحلابات - جنوب شرق شركة البان اليوم للأغذية"</t>
  </si>
  <si>
    <t>AQ-BLD-100960</t>
  </si>
  <si>
    <t>السايح (8)</t>
  </si>
  <si>
    <t>248</t>
  </si>
  <si>
    <t xml:space="preserve">عقار سكني في محافظة الزرقاء - الهاشمية تنظيم سكن د مكون من طابقين ارضي واول مقام على ارض مساحتها 248 م2 ومساحة البناء الاجمالية 185 م2 ويقع في الهاشمية - قرب مصفاة البترول الاردنية_x000D_
</t>
  </si>
  <si>
    <t>AQ-BLD-100641</t>
  </si>
  <si>
    <t>بني معروف (17)</t>
  </si>
  <si>
    <t>836.89</t>
  </si>
  <si>
    <t xml:space="preserve">عقار سكني في محافظة الزرقاء - ازرق الدروز الشمالي تنظيم سكن ج مكون من طابق واحد مقام على ارض مساحتها 836 م2 ومساحة البناء الاجمالية 186 م2 ويقع في الأزرق – أزرق الدروز الشمالي – تبعد 300 متر عن مسجد القيسي و450 متر عن قلعة الأزرق_x000D_
</t>
  </si>
  <si>
    <t>AQ-BLD-100986</t>
  </si>
  <si>
    <t>عقار سكني في محافظة الزرقاء منطقة اسكان البتراوي التنظيم سكني شعبي مساحة الأرض 196 مساحة البناء الاجمالية 444 م2</t>
  </si>
  <si>
    <t>AQ-BLD-100577</t>
  </si>
  <si>
    <t>812</t>
  </si>
  <si>
    <t xml:space="preserve">عقار سكني في محافظة الزرقاء - الهاشمية تنظيم سكن ج مكون من 3 طوابق مقام على ارض مساحتها 812 م2 ومساحة البناء الاجمالية 572 م2 ويقع في الهاشمية - قرب مسجد قرطبة ونادي الشعلة الرياضي_x000D_
</t>
  </si>
  <si>
    <t>AQ-BLD-100880</t>
  </si>
  <si>
    <t>1188.63</t>
  </si>
  <si>
    <t xml:space="preserve">عقار سكني في محافظة الزرقاء - الحلابات تنظيم سكن أ مكون من 3 ابنية مقامة على ارض مساحتها 1188 م2 ومساحة الابنية الاجمالية 566 م2 ويقع في الحلابات - قرب مستودع اليقين للأدوية البيطرية_x000D_
</t>
  </si>
  <si>
    <t>AQ-BLD-100820</t>
  </si>
  <si>
    <t>1789.43</t>
  </si>
  <si>
    <t>عقار سكني في الزرقاء - منطقة البتراوي  تظيمه سكن ج مؤلف من طابق واحد وبناء فرعي مساحة الأرض 1789 م2 ومساحة العقار الاجمالية 203 م2 اضافة الى مساحات خارجية وساحات مبلطة واعمدة انارة وبئر مياه مقابل مسجد عايد الغويري</t>
  </si>
  <si>
    <t>AQ-BLD-100096</t>
  </si>
  <si>
    <t>586</t>
  </si>
  <si>
    <t>عقار سكني في الزرقاء - منطقة البتراوي و مؤلف من طابقين مساحة الأرض 586 م2 ومساحة العقار الاجمالية 600 م2 ( الطابق الأول غير مسقوف )إضافة الى مساحات خارجية وأسوار على كامل القطعة وكراج سيارة قرب مهد وكنيسة الماريوسف</t>
  </si>
  <si>
    <t>AQ-BLD-100526</t>
  </si>
  <si>
    <t>الابيض (9)</t>
  </si>
  <si>
    <t>جبل الأبيض</t>
  </si>
  <si>
    <t>505</t>
  </si>
  <si>
    <t>عقار سكني في محافظة الزرقاء منطقة الجبل الأبيض التنظيم سكني د مساحة الأرض 505 مساحة البناء الاجمالية 1080 م2</t>
  </si>
  <si>
    <t>AQ-BLD-100279</t>
  </si>
  <si>
    <t>731</t>
  </si>
  <si>
    <t>عقار سكني في الزرقاء - منطقة البتراوي و مؤلف من طابقين مساحة الأرض 731 م2 ومساحة العقار الاجمالية 440 م2 إضافة الى مساحات خارجية وأسوار وكراج سيارة قرب مدارس الرباط</t>
  </si>
  <si>
    <t>AQ-BLD-100204</t>
  </si>
  <si>
    <t>572.54</t>
  </si>
  <si>
    <t xml:space="preserve">عقار سكني في الزرقاء - منطقة البتراوي الزرقاء الجديدة و مؤلف من 3 طوابق  (1 منها تسوية) مساحة الأرض 572 م2 ومساحة العقار الاجمالية 485 م2 إضافة الى  وترسات جانبية مبلطة ومنطقة جلوس باربيكيو قرب مسجد عدي بن حاتم_x000D_
</t>
  </si>
  <si>
    <t>AQ-BLD-100912</t>
  </si>
  <si>
    <t>389</t>
  </si>
  <si>
    <t>"عقار سكني في الزرقاء - منطقة البتراوي  تظيمه معارض تجاري محلي مؤلف من 5 طوابق مساحة الأرض 389 م2 ومساحة العقار الاجمالية 1158 م2 يتكون الطابق الأرضي من شقة + مخازن وسدد _x000D_
وباقي الطوابق كل طابق عبارة عن شقتين قرب مدارس اشراق وطن"</t>
  </si>
  <si>
    <t>AQ-BLD-100420</t>
  </si>
  <si>
    <t>جريبا (388)</t>
  </si>
  <si>
    <t>ام جيعه (12)</t>
  </si>
  <si>
    <t>حي الرشيد-الرصيفة</t>
  </si>
  <si>
    <t>405</t>
  </si>
  <si>
    <t>"عقار سكني في الرصيفة - حي الرشيد  تظيمه سكن ج  مساحة الأرض 405 م2 ومساحة العقار الاجمالية 1200 م2 _x000D_
مؤلف من 6 طوابق ( 3 تسوية + ارضي + اول + ثاني + ثالث + روف) وبمجموع 14 شقة، قرب اكادمية لورا الدولية ومحكمة بداية الرصيفة"</t>
  </si>
  <si>
    <t>AQ-BLD-100236</t>
  </si>
  <si>
    <t>897</t>
  </si>
  <si>
    <t xml:space="preserve">عقار سكني في الزرقاء - منطقة البتراوي و مؤلف من 3 طوابق  (1 منها تسوية) مساحة الأرض 897 م2 ومساحة العقار الاجمالية 544 م2  - قرب مخابز الازدهار </t>
  </si>
  <si>
    <t>AQ-BLD-100046</t>
  </si>
  <si>
    <t>بيرين (368)</t>
  </si>
  <si>
    <t>الحبل (10)</t>
  </si>
  <si>
    <t>بيرين</t>
  </si>
  <si>
    <t>4461</t>
  </si>
  <si>
    <t>"عقار سكني في الزرقاء - بيرين تظيمه سكن ج  مساحة الأرض 4461 م2 ومساحة العقار الاجمالية 1891 م2 _x000D_
مؤلف من 3 طوابق (  تسوية + ارضي + اول ) قرب مسجد ذيب  الغويري وخلف مصنع مياه الشوف"</t>
  </si>
  <si>
    <t>AQ-BLD-100144</t>
  </si>
  <si>
    <t>النقب (1)</t>
  </si>
  <si>
    <t>1243</t>
  </si>
  <si>
    <t>عقار سكني مكون من 5 طوابق في محافظة الزرقاء الرصيفة تنظيم سكني أ  مؤلفة من طابق تسوية مساحة 206 م2 عبارة عن شقة _x000D_
طابق أرضي 218 م2 عبارة عن شقة واحدة_x000D_
 طابق أول مساحة 437 م2 مكون من شقتين_x000D_
طابق ثاني مساحة 437 م2 مكون من شقتين_x000D_
طابق ثالث مساحة 437 م2 مكون من شقتين_x000D_
وملحق خارجي مسقوف بالقرميد مساحة 57 م2_x000D_
إسكان الأمير هاشم قرب مدرسة الأمير حسن ومبنى البريد</t>
  </si>
  <si>
    <t>AQ-BLD-100119</t>
  </si>
  <si>
    <t>مزرعة وادي الظليل (391)</t>
  </si>
  <si>
    <t>رجوم ضيف الله (2)</t>
  </si>
  <si>
    <t>الضليل</t>
  </si>
  <si>
    <t>1006</t>
  </si>
  <si>
    <t>فيلا مميزة للبيع في الزرقاء - منطقة حي الظليل الغربي - بالقرب من مسجد الأنوار - تنظيم سكن أ تتكون من طابق أرضي : مساحته 200 م2 ومقامة على قطعة ارض مساحتها  1006 م2 والفيلا محاطة بأسوار وتشطيبها سوبر ديلوكس</t>
  </si>
  <si>
    <t>AQ-BLD-100158</t>
  </si>
  <si>
    <t>ازرق  الشيشان (الجنوبي) (353)</t>
  </si>
  <si>
    <t>الناحية (7)</t>
  </si>
  <si>
    <t>1246</t>
  </si>
  <si>
    <t xml:space="preserve">فيلا مميزة للبيع في الازرق - منطقة الأزرق الجنوبي- شرق المؤسسة الاستهلاكية العسكرية- تتكون من طابق أرضي : مساحته 305 م2 ومقامة على قطعة ارض مساحتها  1246 م2 ويوجد حمام خارجي في الساحة + درج خارجي مبلط رخام وعليه اضاءة والجوانب ومدخل الفيلا عليه قرميد وبيت درج مبلط رخام دون حماية + مساحة القرميد 130 م2 _x000D_
</t>
  </si>
  <si>
    <t>AQ-LND-100283</t>
  </si>
  <si>
    <t>ضبيعه (3)</t>
  </si>
  <si>
    <t>10000.000</t>
  </si>
  <si>
    <t xml:space="preserve">محافظة الزرقاء - اراضي الزرقاء - قرية قاع خنا - حوض ضبيعة 3 - مساحتها - 10,000 م2 لوحة 3 خارج التنظيم ومنتظمة الشكل_x000D_
</t>
  </si>
  <si>
    <t>AQ-LND-100287</t>
  </si>
  <si>
    <t>11784.000</t>
  </si>
  <si>
    <t xml:space="preserve">محافظة الزرقاء - اراضي الزرقاء - قرية قاع خنا الزرقاء - حوض ضبيعة 3 - مساحتها - 11,784 م2 لوحة 3 خارج التنظيم ومنتظمة الشكل_x000D_
</t>
  </si>
  <si>
    <t>AQ-LND-100290</t>
  </si>
  <si>
    <t>14263</t>
  </si>
  <si>
    <t xml:space="preserve">محافظة الزرقاء - اراضي الزرقاء - قرية قاع خنا الزرقاء - اراضي الزرقاء - قرية قاع خنا - حوض ضبيعة 3 - مساحتها - 14,263 م2 لوحة 3 خارج التنظيم ومنتظمة الشكل_x000D_
</t>
  </si>
  <si>
    <t>AQ-LND-100074</t>
  </si>
  <si>
    <t>مزرعة الرحيل (351)</t>
  </si>
  <si>
    <t>الاعنه (4)</t>
  </si>
  <si>
    <t>ضاحية الأميرة هيا</t>
  </si>
  <si>
    <t>537.540</t>
  </si>
  <si>
    <t xml:space="preserve">محافظة الزرقاء - اراضي الزرقاء - قرية مزرعة الرحيل - حوض ألاعنة 4 - مساحتها - 537.54 م2 لوحة رقم 9 شبه مثلثة الشكل ومنظمة سكن ج_x000D_
</t>
  </si>
  <si>
    <t>AQ-LND-100956</t>
  </si>
  <si>
    <t>خو (370)</t>
  </si>
  <si>
    <t>روض شبيب (2)</t>
  </si>
  <si>
    <t>الحاووز</t>
  </si>
  <si>
    <t>203.640</t>
  </si>
  <si>
    <t xml:space="preserve">محافظة الزرقاء - أراضي محافظة الزرقاء - قرية خو_x000D_
_x000D_
قطعة ارض بمساحة 203.04 م2 من نوع الملك تنظيمها تجاري معارض / سليخ خالية من الانشائات طولي  ضمن منطقة حي الحاووز أراضي محافظة الزرقاء / القطعة بشكل طولي / شارع العز بن عبدالسلام_x000D_
</t>
  </si>
  <si>
    <t>AQ-LND-100547</t>
  </si>
  <si>
    <t>جوفة ذياب (11)</t>
  </si>
  <si>
    <t>جريبا</t>
  </si>
  <si>
    <t>770.000</t>
  </si>
  <si>
    <t>محافظة الزرقاء - أراضي الزرقاء - قرية جريبا - لوحة 11 _x000D_
_x000D_
قطعة ارض سليخ مساحنها 770 م2 حوض 11 جوفة ذياب لوحة 11 قرية جريبا منتظمة الشكل وخالية من الانشاءات والابنية وهي داخل التنظيم وتنظيمها سكن ج تقع ضمن حدود بلدية الرصيفة منطقة الرشيد ومخدومة بكافة الخدمات</t>
  </si>
  <si>
    <t>AQ-LND-100159</t>
  </si>
  <si>
    <t>نصار (43)</t>
  </si>
  <si>
    <t>657</t>
  </si>
  <si>
    <t>محافظة الزرقاء - أراضي الزرقاء - قرية جريبا - لوحة 43 _x000D_
_x000D_
قطعة ارض مساحتها 657 م2 سليخ وخالية من الأبنية والانشاءات والأشجار وهي غير منتظمة الشكل وتقع على شارعين معبدين ومقابل مدرسة حي نصار الأساسية الثانوية للبنين وجميع الخدمات متوفرة</t>
  </si>
  <si>
    <t>AQ-LND-100140</t>
  </si>
  <si>
    <t>مزارع</t>
  </si>
  <si>
    <t>مشروع ري وادي الظليل (390)</t>
  </si>
  <si>
    <t>وادي الركبان (1)</t>
  </si>
  <si>
    <t>26932</t>
  </si>
  <si>
    <t>"مزرعة للبيع في الزرقاء - قصر الحلابات - قرية يبلا مساحة الأرض 26932 م2_x000D_
مساحة الأبنية 1385 م2"</t>
  </si>
  <si>
    <t>AQ-BLD-100562</t>
  </si>
  <si>
    <t>501.490</t>
  </si>
  <si>
    <t>منزل مستقل مكون من طابقين ارضي واول - مساحة الأرض 501.490 م2 ومساحة البناء الاجمالية 307 م2 في محافظة الزرقاء منطقة السخنة تنظيم سكني ج بالقرب من مدرسة الوكالة</t>
  </si>
  <si>
    <t>AQ-BLD-100518</t>
  </si>
  <si>
    <t>699.000</t>
  </si>
  <si>
    <t>منزل مستقل مكون من طابقين تسوية وارضي - مساحة الأرض 699 م2 ومساحة البناء الاجمالية 327 م2 في محافظة الزرقاء منطقة السخنة تنظيم سكني ج بالقرب من اسواق العقرباوي ودوار السخنة</t>
  </si>
  <si>
    <t>AQ-RE-100304</t>
  </si>
  <si>
    <t>محافظة الطفيلة</t>
  </si>
  <si>
    <t>اراضي الطفيله (31)</t>
  </si>
  <si>
    <t>الطفيلة (602)</t>
  </si>
  <si>
    <t>البرنيس (75)</t>
  </si>
  <si>
    <t>83</t>
  </si>
  <si>
    <t xml:space="preserve">شقة طابق تسوية مساحة 83 م2 في محافظة الطفيلة منطقة البرنيس تنظيم سكني ج_x000D_
</t>
  </si>
  <si>
    <t>AQ-RE-100823</t>
  </si>
  <si>
    <t>ام قرى (64)</t>
  </si>
  <si>
    <t>174</t>
  </si>
  <si>
    <t>شقة في محافظة الطفيلة منطقة بصيرا التنظيم سكني د  بمساحة 174 م2</t>
  </si>
  <si>
    <t>AQ-RE-100305</t>
  </si>
  <si>
    <t>صنفحه (608)</t>
  </si>
  <si>
    <t>البيضا (24)</t>
  </si>
  <si>
    <t>96</t>
  </si>
  <si>
    <t xml:space="preserve">شقة طابق ارضي في محافظة الطفيلة منطقة البيضا التنظيم سكني ج بمساحة 96 م2_x000D_
</t>
  </si>
  <si>
    <t>AQ-RE-100311</t>
  </si>
  <si>
    <t>التين (58)</t>
  </si>
  <si>
    <t>العيص</t>
  </si>
  <si>
    <t>118</t>
  </si>
  <si>
    <t>شقة طابق اول في محافظة الطفيلة منطقة العيص التنظيم سكني ج بمساحة 118 م2</t>
  </si>
  <si>
    <t>AQ-RE-100310</t>
  </si>
  <si>
    <t>ام بوير (29)</t>
  </si>
  <si>
    <t>شقة طابق اول في محافظة الطفيلة منطقة العيص التنظيم سكني ب بمساحة 131 م2</t>
  </si>
  <si>
    <t>AQ-BLD-100725</t>
  </si>
  <si>
    <t>قره (59)</t>
  </si>
  <si>
    <t>1509</t>
  </si>
  <si>
    <t>"محافظة الطفيلة - اراضي الطفيلة - قرية الطفيلة_x000D_
_x000D_
 قطعة ارض نوع ملك تنظيمها سكن ب خالية من الأبنية والانشاءات ضمن تنظيم بلدية الطفيلة الكبرى - منطقة المنصورة_x000D_
_x000D_
الطفيلة - حي المنصورة - قرب مسجد المنصورة الجديد - طريق بلدية عيمة"</t>
  </si>
  <si>
    <t>AQ-BLD-100866</t>
  </si>
  <si>
    <t>737</t>
  </si>
  <si>
    <t xml:space="preserve">عقار سكني في محافظة الطفيلة بمنطقة قره المنصورة التنظيم السكني ب مساحة القطعة 737 م2 ومساحة البناء الاجمالية 105م2_x000D_
</t>
  </si>
  <si>
    <t>AQ-BLD-100319</t>
  </si>
  <si>
    <t>762</t>
  </si>
  <si>
    <t>"عقار سكني في الطفيلة - المنصورة  تظيمه سكن ب_x000D_
مساحة الأرض 762 م2 ومساحة العقار الاجمالية 222 م2 _x000D_
مؤلف من طابقين ( أرضي + اول) _x000D_
مساحة كل طابق 91 متر _x000D_
 يوجد غرفة مستودع منفصلة بمساحة 24 م2 + قطعة ارض مزروعة ببعض اشجار الزيتون واللوزيات_x000D_
_x000D_
 الطفيلة - المنصورة - جنوب معصرة المعاني للزيتون"</t>
  </si>
  <si>
    <t>AQ-LND-100450</t>
  </si>
  <si>
    <t>الغوير (61)</t>
  </si>
  <si>
    <t>1924</t>
  </si>
  <si>
    <t xml:space="preserve">محافظة الطفيلة - اراضي الطفيلة - قرية الطفيلة - حوض الغوير 61 - مساحتها - 1,924 م2 منظمة سكن زراعي بأحكام خارج التنظيم_x000D_
</t>
  </si>
  <si>
    <t>AQ-LND-100953</t>
  </si>
  <si>
    <t>وادي زيد (77)</t>
  </si>
  <si>
    <t>915</t>
  </si>
  <si>
    <t>محافظة الطفيلة - اراضي الطفيلة - قرية الطفيلة_x000D_
_x000D_
 قطعة ارض نوع ملك تنظيمها سكن ب خالية من الأبنية والانشاءات منتظمة الشكل ضمن تنظيم بلدية الطفيلة الكبرى - منطقة وادي زايد_x000D_
_x000D_
الموقع: الطفيلة - وادي زايد - قرب المدرسة المهنية</t>
  </si>
  <si>
    <t>AQ-LND-100459</t>
  </si>
  <si>
    <t>3728</t>
  </si>
  <si>
    <t xml:space="preserve">محافظة الطفيلة - اراضي الطفيلة - قرية الطفيلة - حوض التين 58 - مساحتها -3,728 م2 لوحة 21 منظمة سكن ج_x000D_
</t>
  </si>
  <si>
    <t>AQ-LND-100191</t>
  </si>
  <si>
    <t>القادسية</t>
  </si>
  <si>
    <t>1633</t>
  </si>
  <si>
    <t xml:space="preserve">محافظة الطفيلة - اراضي الطفيلة - قرية الطفيلة - حوض قرة 59 - مساحتها - 1663 م2 منتظمة الشكل منظمة سكن ب يوجد بها ميلا_x000D_
</t>
  </si>
  <si>
    <t>AQ-LND-100462</t>
  </si>
  <si>
    <t>صافح (54)</t>
  </si>
  <si>
    <t>22984</t>
  </si>
  <si>
    <t xml:space="preserve">محافظة الطفيلة - اراضي الطفيلة - قرية الطفيلة - حوض صافح 54 - مساحتها - 22,984 م2 لوحة 133 زراعية خارج التنظيم_x000D_
</t>
  </si>
  <si>
    <t>AQ-LND-100382</t>
  </si>
  <si>
    <t>قرقره (67)</t>
  </si>
  <si>
    <t>الرشادية</t>
  </si>
  <si>
    <t>6279</t>
  </si>
  <si>
    <t>محافظة الطفيلة - أراضي الطفيلة - قرية الطفيلة_x000D_
قطعة ارض من نوع ملك مساحتها الاجمالية 6279 م2 وهي خارج التنظيم وخارج حدود البلدية وغير منتظمة الشكل وبها ميولات الى الجهة الشمالية وانحدارات خفيفة الى الجهة الشمالية الغربية وطبيعة تربتها صفراء</t>
  </si>
  <si>
    <t>AQ-LND-100221</t>
  </si>
  <si>
    <t>المياسر (78)</t>
  </si>
  <si>
    <t>26219</t>
  </si>
  <si>
    <t>محافظة الطفيلة - اراضي الطفيلة - قرية الطفيلة - حوض المياسر 78 - مساحتها - 26,219 م2 لوحة 96 خارج التنظيم</t>
  </si>
  <si>
    <t>AQ-LND-100467</t>
  </si>
  <si>
    <t>21204</t>
  </si>
  <si>
    <t xml:space="preserve">محافظة الطفيلة - اراضي الطفيلة - قرية الطفيلة - حوض أم بوير 29 - المساحة - 21,204 م2 لوحة 312 زراعية خارج التنظيم_x000D_
</t>
  </si>
  <si>
    <t>AQ-RE-100776</t>
  </si>
  <si>
    <t>المتجر</t>
  </si>
  <si>
    <t>محافظة العاصمة</t>
  </si>
  <si>
    <t>اراضي عمان (1)</t>
  </si>
  <si>
    <t>عمان (1)</t>
  </si>
  <si>
    <t>وادي السلط (11)</t>
  </si>
  <si>
    <t>جبل الحسين</t>
  </si>
  <si>
    <t>9</t>
  </si>
  <si>
    <t xml:space="preserve">مخزن طابق تسوية مساحة 9 م2 في محافظة العاصمة منطقة جبل الحسين تنظيم تجاري مكاتب ج_x000D_
</t>
  </si>
  <si>
    <t>AQ-RE-100783</t>
  </si>
  <si>
    <t>23</t>
  </si>
  <si>
    <t xml:space="preserve">مخزن طابق تسوية مساحة 23 م2 في محافظة العاصمة منطقة جبل الحسين تنظيم تجاري مكاتب ج_x000D_
</t>
  </si>
  <si>
    <t>AQ-RE-100784</t>
  </si>
  <si>
    <t>25</t>
  </si>
  <si>
    <t xml:space="preserve">مخزن طابق تسوية مساحة 25 م2 في محافظة العاصمة منطقة جبل الحسين تنظيم تجاري مكاتب ج_x000D_
</t>
  </si>
  <si>
    <t>AQ-RE-100780</t>
  </si>
  <si>
    <t>29</t>
  </si>
  <si>
    <t>مخزن طابق تسوية مساحة 29 م2 في محافظة العاصمة منطقة جبل الحسين تنظيم تجاري مكاتب ج</t>
  </si>
  <si>
    <t>AQ-RE-100779</t>
  </si>
  <si>
    <t>مخزن طابق تسوية مساحة 30 م2 في محافظة العاصمة منطقة جبل الحسين تنظيم تجاري مكاتب ج</t>
  </si>
  <si>
    <t>AQ-RE-100214</t>
  </si>
  <si>
    <t>المدينه (33)</t>
  </si>
  <si>
    <t>طلوع المصدار</t>
  </si>
  <si>
    <t>48</t>
  </si>
  <si>
    <t>مخزن مساحة 48 م2_x000D_
التنظيم : تجاري عادي ضمن سكن د_x000D_
رقم البناء: 19_x000D_
مؤلف من باب واحد وعبارة عن مستودع فارغ مع قاطع خرساني _x000D_
الموقع: عمان - الاشرفية - بالقرب من طلوع المصدار - شارع العباس الجوهري</t>
  </si>
  <si>
    <t>AQ-RE-100785</t>
  </si>
  <si>
    <t>26</t>
  </si>
  <si>
    <t>مخزن مساحة 26 م2_x000D_
التنظيم : تجاري_x000D_
رقم البناء: 175_x000D_
 مؤلف من باب واحد وعبارة عن مخزن فارغ _x000D_
الموقع: عمان - جبل الحسين - بالقرب من دوار فراس - مقابل مكسيم مول</t>
  </si>
  <si>
    <t>AQ-RE-100385</t>
  </si>
  <si>
    <t>عبدون (27)</t>
  </si>
  <si>
    <t>عبدون</t>
  </si>
  <si>
    <t>315</t>
  </si>
  <si>
    <t xml:space="preserve"> سطح مقام عليه بناء في عبدون - تنظيم سكن د - مساحة 142 م2 - بناء رقم 24 - قرب تاج مول والشرطة البيئية_x000D_
</t>
  </si>
  <si>
    <t>AQ-RE-101042</t>
  </si>
  <si>
    <t>اراضي جنوب عمان (6)</t>
  </si>
  <si>
    <t>القويسمه (130)</t>
  </si>
  <si>
    <t>النهاريه (3)</t>
  </si>
  <si>
    <t>النهارية</t>
  </si>
  <si>
    <t>90</t>
  </si>
  <si>
    <t>شقة طابق ثاني في محافظة العاصمة منطقة القويسمة التنظيم سكني د بمساحة 90 م2</t>
  </si>
  <si>
    <t>AQ-RE-101092</t>
  </si>
  <si>
    <t>88</t>
  </si>
  <si>
    <t xml:space="preserve">شقة طابق ثاني في محافظة العاصمة منطقة القويسمة التنظيم سكني ب بمساحة 88 م2_x000D_
</t>
  </si>
  <si>
    <t>AQ-RE-101038</t>
  </si>
  <si>
    <t>القويسمة</t>
  </si>
  <si>
    <t>68</t>
  </si>
  <si>
    <t>شقة طابق تسوية في محافظة العاصمة منطقة القويسمة التنظيم سكني د بمساحة 68 م2</t>
  </si>
  <si>
    <t>AQ-RE-100019</t>
  </si>
  <si>
    <t>اراضي شرق عمان (5)</t>
  </si>
  <si>
    <t>ماركا (127)</t>
  </si>
  <si>
    <t>بلد ماركا الشماليه (5)</t>
  </si>
  <si>
    <t>ماركا</t>
  </si>
  <si>
    <t xml:space="preserve">شقة طابق تسوية مساحة 85 م2 في محافظة العاصمة منطقة ماركا تنظيم سكني د_x000D_
</t>
  </si>
  <si>
    <t>AQ-RE-100267</t>
  </si>
  <si>
    <t>اراضي الموقر (38)</t>
  </si>
  <si>
    <t>سالم (149)</t>
  </si>
  <si>
    <t>شاكر الجنوبي (2)</t>
  </si>
  <si>
    <t>الموقر</t>
  </si>
  <si>
    <t>84.000</t>
  </si>
  <si>
    <t xml:space="preserve">شقة طابق ارضي مساحة 84 م2 في محافظة العاصمة منطقة الموقر تنظيم سكني احكام خاصة </t>
  </si>
  <si>
    <t>AQ-RE-100314</t>
  </si>
  <si>
    <t>النويجيس (128)</t>
  </si>
  <si>
    <t>خنيفسه (3)</t>
  </si>
  <si>
    <t>الهاشمي الشمالي</t>
  </si>
  <si>
    <t>136</t>
  </si>
  <si>
    <t xml:space="preserve">شقة طابق اول مساحة 136 م2 في محافظة العاصمة منطقة  تنظيم سكني د_x000D_
</t>
  </si>
  <si>
    <t>AQ-RE-100102</t>
  </si>
  <si>
    <t>ابو علندا (131)</t>
  </si>
  <si>
    <t>المناطير (27)</t>
  </si>
  <si>
    <t>ابو علندا</t>
  </si>
  <si>
    <t xml:space="preserve"> شقة طابق ثاني في أبو علندا - التطوير الحضري - تنظيمها سكن بأحكام خاصة - مساحتها 91 م2  - مقابل مدرسة خولة بنت الازور - قرب مسجد عقيلة_x000D_
</t>
  </si>
  <si>
    <t>AQ-RE-100538</t>
  </si>
  <si>
    <t>97.000</t>
  </si>
  <si>
    <t xml:space="preserve"> شقة طابق تسوية في منطقة أبو علندا- سكن كريم - بناء رقم 82 - تنظيمها سكن بأحكام خاصة - مساحتها 97 م2 قرب مصنع الغاز - طريق الحزام _x000D_
</t>
  </si>
  <si>
    <t>AQ-RE-100117</t>
  </si>
  <si>
    <t>المرقب (8)</t>
  </si>
  <si>
    <t>صالحية العابد</t>
  </si>
  <si>
    <t>100</t>
  </si>
  <si>
    <t xml:space="preserve">شقة طابق تسوية مساحة 100 م2 في محافظة العاصمة منطقة صالحية العابد تنظيم سكني ج_x000D_
</t>
  </si>
  <si>
    <t>AQ-RE-100620</t>
  </si>
  <si>
    <t>الونانات (2)</t>
  </si>
  <si>
    <t xml:space="preserve">شقة طابق ثاني مساحة 115 م2 في محافظة العاصمة منطقة ماركا تنظيم سكني ج_x000D_
</t>
  </si>
  <si>
    <t>AQ-RE-100619</t>
  </si>
  <si>
    <t>AQ-RE-100269</t>
  </si>
  <si>
    <t xml:space="preserve">شقة طابق تسوية مساحة 107 م2 في محافظة العاصمة منطقة الموقر تنظيم سكني احكام خاصة </t>
  </si>
  <si>
    <t>AQ-RE-100366</t>
  </si>
  <si>
    <t xml:space="preserve"> شقة طابق اول في أبو علندا - التطوير الحضري - تنظيمها سكن بأحكام خاصة - مساحتها 113 م2  - بناء رقم  61 قرب مركز صحي ابو علندا</t>
  </si>
  <si>
    <t>AQ-RE-100344</t>
  </si>
  <si>
    <t>صهاة بن عزيز (14)</t>
  </si>
  <si>
    <t xml:space="preserve">شقة طابق ارضي في منطقة أبو علندا- حي النهضة - تنظيمها سكن بأحكام خاصة - مساحتها 83 م2 قرب مسجد الشيخ حمد الدروبي </t>
  </si>
  <si>
    <t>AQ-RE-101041</t>
  </si>
  <si>
    <t>شقة طابق اول في محافظة العاصمة منطقة القويسمة التنظيم سكني د بمساحة 88 م2</t>
  </si>
  <si>
    <t>AQ-RE-100066</t>
  </si>
  <si>
    <t xml:space="preserve">شقة طابق اول مساحة 115 م2 في محافظة العاصمة منطقة ماركا تنظيم سكني د_x000D_
</t>
  </si>
  <si>
    <t>AQ-RE-100514</t>
  </si>
  <si>
    <t>114.000</t>
  </si>
  <si>
    <t xml:space="preserve"> شقة طابق ثاني في منطقة أبو علندا- سكن كريم - تنظيمها سكن بأحكام خاصة - مساحتها 114 م2 قرب مسجد ابي بكر الصديق _x000D_
</t>
  </si>
  <si>
    <t>AQ-RE-100618</t>
  </si>
  <si>
    <t xml:space="preserve">شقة طابق ارضي مساحة 115 م2 في محافظة العاصمة منطقة ماركا تنظيم سكني ج_x000D_
</t>
  </si>
  <si>
    <t>AQ-RE-100616</t>
  </si>
  <si>
    <t>AQ-RE-100118</t>
  </si>
  <si>
    <t>141</t>
  </si>
  <si>
    <t xml:space="preserve">شقة طابق ثالث في منطقة أبو علندا- سكن كريم - تنظيمها سكن بأحكام خاصة - مساحتها 141 م2 قرب الشركة الوطنية للزيوت </t>
  </si>
  <si>
    <t>AQ-RE-100539</t>
  </si>
  <si>
    <t>128.000</t>
  </si>
  <si>
    <t xml:space="preserve"> شقة طابق ثالث في منطقة أبو علندا- بناء رقم 7 - تنظيمها سكن بأحكام خاصة - مساحتها 128 م2 قرب سوبر ماركت أبو عزيز _x000D_
</t>
  </si>
  <si>
    <t>AQ-RE-101040</t>
  </si>
  <si>
    <t>شقة طابق اول في محافظة العاصمة منطقة القويسمة التنظيم سكني د بمساحة 90 م2</t>
  </si>
  <si>
    <t>AQ-RE-100480</t>
  </si>
  <si>
    <t>تلاع النجار (10)</t>
  </si>
  <si>
    <t>119.000</t>
  </si>
  <si>
    <t xml:space="preserve"> شقة طابق ثاني في منطقة أبو علندا- تنظيمها سكن ج - مساحتها 119 م2 قرب حضانة ستار سوبر كيدز _x000D_
</t>
  </si>
  <si>
    <t>AQ-RE-100512</t>
  </si>
  <si>
    <t>الذراع الشمالي (37)</t>
  </si>
  <si>
    <t>الذراع</t>
  </si>
  <si>
    <t>125.000</t>
  </si>
  <si>
    <t xml:space="preserve"> شقة طابق ارضي في الذراع الشمالي - حي الهلال - تنظيمها سكن د - مساحتها 125 م2 قرب دوار القيسية_x000D_
</t>
  </si>
  <si>
    <t>AQ-RE-100201</t>
  </si>
  <si>
    <t>الموقر (140)</t>
  </si>
  <si>
    <t>البلد (6)</t>
  </si>
  <si>
    <t>168</t>
  </si>
  <si>
    <t xml:space="preserve">شقة طابق ارضي مساحة 168 م2 في محافظة العاصمة منطقة الموقر تنظيم سكني أ_x000D_
</t>
  </si>
  <si>
    <t>AQ-RE-100594</t>
  </si>
  <si>
    <t>جرينين الغربي (5)</t>
  </si>
  <si>
    <t>جبل النزهة</t>
  </si>
  <si>
    <t>101</t>
  </si>
  <si>
    <t xml:space="preserve">شقة طابق ارضي مساحة 101 م2 في محافظة العاصمة منطقة جبل النزهة تنظيم سكني د_x000D_
</t>
  </si>
  <si>
    <t>AQ-RE-100286</t>
  </si>
  <si>
    <t>برقع (9)</t>
  </si>
  <si>
    <t>128</t>
  </si>
  <si>
    <t xml:space="preserve">شقة طابق ثالث مساحة 128 م2 في محافظة العاصمة منطقة ماركا تنظيم سكني ج_x000D_
</t>
  </si>
  <si>
    <t>AQ-RE-100289</t>
  </si>
  <si>
    <t>AQ-RE-100860</t>
  </si>
  <si>
    <t>عويس (1)</t>
  </si>
  <si>
    <t>103</t>
  </si>
  <si>
    <t xml:space="preserve"> شقة طابق ثاني في منطقة القويسمة - تنظيمها سكن د - مساحتها 103 م2 قرب مدارس الناصر الحديثه _x000D_
</t>
  </si>
  <si>
    <t>AQ-RE-100282</t>
  </si>
  <si>
    <t xml:space="preserve">شقة طابق ثاني مساحة 128 م2 في محافظة العاصمة منطقة ماركا تنظيم سكني ج_x000D_
</t>
  </si>
  <si>
    <t>AQ-RE-100278</t>
  </si>
  <si>
    <t>AQ-RE-100432</t>
  </si>
  <si>
    <t xml:space="preserve">شقة طابق اول مساحة 128 م2 في محافظة العاصمة منطقة ماركا تنظيم سكني ج_x000D_
</t>
  </si>
  <si>
    <t>AQ-RE-100667</t>
  </si>
  <si>
    <t xml:space="preserve">شقة طابق ثاني مساحة 128 م2 في محافظة العاصمة منطقة الهاشمي الشمالي تنظيم سكني ج_x000D_
</t>
  </si>
  <si>
    <t>AQ-RE-100597</t>
  </si>
  <si>
    <t>AQ-RE-101133</t>
  </si>
  <si>
    <t>127</t>
  </si>
  <si>
    <t xml:space="preserve">شقة جنوبية طابق تسوية الثانية عدا سطحها في محافظة العاصمة منطقة النويجيس التنظيم سكني د بمساحة 127 م2_x000D_
</t>
  </si>
  <si>
    <t>AQ-RE-100174</t>
  </si>
  <si>
    <t>اراضي شمال عمان (4)</t>
  </si>
  <si>
    <t>عين الباشا (124)</t>
  </si>
  <si>
    <t>ام صفاتين (9)</t>
  </si>
  <si>
    <t>صافوط</t>
  </si>
  <si>
    <t>119</t>
  </si>
  <si>
    <t xml:space="preserve">شقة طابق ثالث في منطقة عين الباشا - صافوط - تنظيمها سكن ج - مساحتها 119 م2 قرب مدرسة عين الباشا الثانوية للبنات و خلف بقالة ابو العربي </t>
  </si>
  <si>
    <t>AQ-RE-100323</t>
  </si>
  <si>
    <t>111</t>
  </si>
  <si>
    <t xml:space="preserve">شقة طابق تسوية في منطقة النصر- تنظيمها سكن ج - مساحتها 111 م2 قرب مسجد عبدالله خلف وقصر سمية للأفراح </t>
  </si>
  <si>
    <t>AQ-RE-101057</t>
  </si>
  <si>
    <t>المبرك (24)</t>
  </si>
  <si>
    <t>98</t>
  </si>
  <si>
    <t xml:space="preserve">شقة طابق اول في محافظة العاصمة منطقة ابو علندا التنظيم سكني ج بمساحة 98 م2_x000D_
</t>
  </si>
  <si>
    <t>AQ-RE-100133</t>
  </si>
  <si>
    <t>طبربور (129)</t>
  </si>
  <si>
    <t>حويجر (6)</t>
  </si>
  <si>
    <t>طبربور</t>
  </si>
  <si>
    <t>شقة طابق تسوية  في منطقة طبربور-طارق - تنظيمها سكن ب - مساحتها 115 م2 بناء رقم  22ج/24 قرب مسجد موسى الهدبان و مدرسة عبداللطيف عابدين</t>
  </si>
  <si>
    <t>AQ-RE-100484</t>
  </si>
  <si>
    <t>132.000</t>
  </si>
  <si>
    <t xml:space="preserve"> شقة طابق تسوية في القويسمة - حي الاميرة عالية مساحتها 132 م2  - تنظيمها سكن د -بناء رقم  3 قرب روضة ومدارس الناصر الحديثة وسوبر ماركت ريان_x000D_
</t>
  </si>
  <si>
    <t>AQ-RE-100384</t>
  </si>
  <si>
    <t>جحره الجنوبي (51)</t>
  </si>
  <si>
    <t>الياسمين</t>
  </si>
  <si>
    <t>شقة طابق ثالث في ضاحية الياسمين - تنظيمها سكن د - مساحتها 109 م2 - بناء رقم  32 - قرب دوار قرقش</t>
  </si>
  <si>
    <t>AQ-RE-100345</t>
  </si>
  <si>
    <t>132</t>
  </si>
  <si>
    <t>شقة طابق رابع في القويسمة - المنارة  - تنظيمها سكن ج - مساحتها 132 م2 قرب مدرسة المنارة</t>
  </si>
  <si>
    <t>AQ-RE-100444</t>
  </si>
  <si>
    <t xml:space="preserve">شقة طابق ارضي مساحة 128 م2 في محافظة العاصمة منطقة ماركا تنظيم سكني ج_x000D_
</t>
  </si>
  <si>
    <t>AQ-RE-100942</t>
  </si>
  <si>
    <t>نايفه (4)</t>
  </si>
  <si>
    <t>بسمان</t>
  </si>
  <si>
    <t xml:space="preserve">شقة طابق تسوية مساحة 119 م2 في محافظة العاصمة منطقة بسمان تنظيم سكني ج_x000D_
</t>
  </si>
  <si>
    <t>AQ-RE-100184</t>
  </si>
  <si>
    <t>ام صويوينه الشمالي (41)</t>
  </si>
  <si>
    <t>جبل الزهور</t>
  </si>
  <si>
    <t>117</t>
  </si>
  <si>
    <t xml:space="preserve">شقة طابق ارضي في منطقة الزهور مساحتها 117 م2 بناء رقم 9 بجانب مدرسة احمد الطراونة الثانوية للبنين </t>
  </si>
  <si>
    <t>AQ-RE-100346</t>
  </si>
  <si>
    <t xml:space="preserve">شقة طابق ارضي مساحة 128 م2 في محافظة العاصمة منطقة  تنظيم سكني ج_x000D_
</t>
  </si>
  <si>
    <t>AQ-RE-101124</t>
  </si>
  <si>
    <t>الذراع الشرقي (46)</t>
  </si>
  <si>
    <t xml:space="preserve">الشقة الجنوبية الشرقية من طابق ثالث عدا سطحها في محافظة العاصمة التنظيم سكني ج بمساحة 126 م2_x000D_
</t>
  </si>
  <si>
    <t>AQ-RE-100833</t>
  </si>
  <si>
    <t>ابو نصير (111)</t>
  </si>
  <si>
    <t>الوسية (3)</t>
  </si>
  <si>
    <t>ابو نصير</t>
  </si>
  <si>
    <t>105</t>
  </si>
  <si>
    <t xml:space="preserve">شقة طابق ثالث مساحة 105 م2 في محافظة العاصمة منطقة  تنظيم سكني د_x000D_
</t>
  </si>
  <si>
    <t>AQ-RE-100831</t>
  </si>
  <si>
    <t xml:space="preserve">شقة طابق ثاني مساحة 105 م2 في محافظة العاصمة منطقة  تنظيم سكني د_x000D_
</t>
  </si>
  <si>
    <t>AQ-RE-100535</t>
  </si>
  <si>
    <t>المدوره (5)</t>
  </si>
  <si>
    <t>140.000</t>
  </si>
  <si>
    <t xml:space="preserve"> شقة طابق تسوية في طبربور - تنظيمها سكن ب - مساحتها 140 م2 بناء رقم  82 - قرب مدارس التلال الذهبية - ضمن إسكان حسين رباح 4_x000D_
</t>
  </si>
  <si>
    <t>AQ-RE-100027</t>
  </si>
  <si>
    <t>الرواق (2)</t>
  </si>
  <si>
    <t>ضاحية الامير حسن</t>
  </si>
  <si>
    <t xml:space="preserve"> شقة طابق تسوية في منطقة ضاحية الأمير حسن مساحتها 163 م2 شارع عبدالله بن فروخ قرب سوبر ماركت علاء_x000D_
</t>
  </si>
  <si>
    <t>AQ-RE-100130</t>
  </si>
  <si>
    <t>خريبة السوق  و جاوا (144)</t>
  </si>
  <si>
    <t>وادي الطي (5)</t>
  </si>
  <si>
    <t>خربة السوق</t>
  </si>
  <si>
    <t>162</t>
  </si>
  <si>
    <t xml:space="preserve">شقة طابق تسوية في منطقة خريبة السوق - تنظيمها سكن ج - مساحتها 162 م2 قرب مركز امن الجويدة - بجانب مسجد عبد الحميد </t>
  </si>
  <si>
    <t>AQ-RE-100146</t>
  </si>
  <si>
    <t>ياجوز (126)</t>
  </si>
  <si>
    <t>زربي (1)</t>
  </si>
  <si>
    <t>ياجوز</t>
  </si>
  <si>
    <t>شقة طابق ثالث في منطقة ياجوز - تنظيمها سكن ب - مساحتها 150 م2 - قرب محطة السويلمين للمحروقات</t>
  </si>
  <si>
    <t>AQ-RE-101114</t>
  </si>
  <si>
    <t>المياله (8)</t>
  </si>
  <si>
    <t xml:space="preserve">شقة طابق اول عدا سطحها في محافظة العاصمة التنظيم سكني ب بمساحة 131 م2_x000D_
</t>
  </si>
  <si>
    <t>AQ-RE-100157</t>
  </si>
  <si>
    <t>الجبيهه (112)</t>
  </si>
  <si>
    <t>جذر البلد (3)</t>
  </si>
  <si>
    <t>الجبيهة</t>
  </si>
  <si>
    <t>120</t>
  </si>
  <si>
    <t>شقة طابق ثاني في الجبيهة - تنظيمها سكن ب - مساحتها 120 م2 - شارع عتيقة بن زيد - خلف فندق النور واللجين</t>
  </si>
  <si>
    <t>AQ-RE-100541</t>
  </si>
  <si>
    <t>162.000</t>
  </si>
  <si>
    <t xml:space="preserve"> شقة طابق ثالث في الهاشمي الشمالي - تنظيمها سكن ج - مساحتها 162 م2 شارع النعمان بن مالك - قرب روضة ومدارس الاريج_x000D_
</t>
  </si>
  <si>
    <t>AQ-RE-100827</t>
  </si>
  <si>
    <t xml:space="preserve">شقة طابق ارضي مساحة 105 م2 في محافظة العاصمة منطقة  تنظيم سكني د_x000D_
</t>
  </si>
  <si>
    <t>AQ-RE-100829</t>
  </si>
  <si>
    <t xml:space="preserve">شقة طابق اول مساحة 105 م2 في محافظة العاصمة منطقة  تنظيم سكني د_x000D_
</t>
  </si>
  <si>
    <t>AQ-RE-100824</t>
  </si>
  <si>
    <t xml:space="preserve">شقة طابق تسوية مساحة 96 م2 في محافظة العاصمة منطقة  تنظيم سكني د_x000D_
</t>
  </si>
  <si>
    <t>AQ-RE-100711</t>
  </si>
  <si>
    <t>الجبيهه الغربي (5)</t>
  </si>
  <si>
    <t xml:space="preserve"> شقة طابق ثالث في الجبيهة - تنظيمها سكن أ - مساحتها 118 م2 - خلف كازية توتال - قرب الدكتور للمفروشات الطبية_x000D_
</t>
  </si>
  <si>
    <t>AQ-RE-100014</t>
  </si>
  <si>
    <t xml:space="preserve"> شقة طابق تسوية في منطقة ضاحية الياسمين مساحتها 141 م2 بناء رقم 16 قرب مسجد فاطمة الزهراء_x000D_
</t>
  </si>
  <si>
    <t>AQ-RE-100169</t>
  </si>
  <si>
    <t>شقة طابق ثالث في الجبيهة - تنظيمها سكن أ - مساحتها 121 م2 - خلف كازية توتال - قرب الدكتور للمفروشات الطبية</t>
  </si>
  <si>
    <t>AQ-RE-100675</t>
  </si>
  <si>
    <t>145</t>
  </si>
  <si>
    <t xml:space="preserve">شقة طابق ثالث مساحة 145 م2 في محافظة العاصمة منطقة  تنظيم سكني ب_x000D_
</t>
  </si>
  <si>
    <t>AQ-RE-100516</t>
  </si>
  <si>
    <t xml:space="preserve">شقة طابق تسوية مساحة 137 م2 في محافظة العاصمة منطقة بسمان تنظيم سكني ج_x000D_
</t>
  </si>
  <si>
    <t>AQ-RE-101024</t>
  </si>
  <si>
    <t>شقة طابق ثالث في محافظة العاصمة منطقة طبربور التنظيم سكني ب بمساحة 136 م2</t>
  </si>
  <si>
    <t>AQ-RE-100478</t>
  </si>
  <si>
    <t>160.000</t>
  </si>
  <si>
    <t xml:space="preserve"> شقة طابق تسوية في طبربور - تنظيمها سكن ج - مساحتها 160 م2 بناء رقم  40 قرب مسجد الملك الحسين بن طلال_x000D_
</t>
  </si>
  <si>
    <t>AQ-RE-101130</t>
  </si>
  <si>
    <t xml:space="preserve">شقة شمالية من طابق ثاني عدا سطحها في طبربور التنظيم سكني ب بمساحة 150 م2_x000D_
</t>
  </si>
  <si>
    <t>AQ-RE-100550</t>
  </si>
  <si>
    <t>ام نواره (2)</t>
  </si>
  <si>
    <t>ام نوارة</t>
  </si>
  <si>
    <t>150.000</t>
  </si>
  <si>
    <t xml:space="preserve"> شقة طابق ثاني في القويسمة - ام نوارة  - تنظيمها سكن ب - مساحتها 150 م2 بناء رقم  25 - قرب مسجد إسماعيل القهيوي_x000D_
</t>
  </si>
  <si>
    <t>AQ-RE-100492</t>
  </si>
  <si>
    <t>تلاع العلي (119)</t>
  </si>
  <si>
    <t>التلاع الشمالي (2)</t>
  </si>
  <si>
    <t>تلاع العلي</t>
  </si>
  <si>
    <t>106</t>
  </si>
  <si>
    <t xml:space="preserve">شقة طابق ثاني عدا سطحها في محافظة العاصمة التنظيم ج بمساحة 106 م2_x000D_
</t>
  </si>
  <si>
    <t>AQ-RE-100673</t>
  </si>
  <si>
    <t>شقة طابق ثاني في محافظة العاصمة منطقة طبربور التنظيم سكني ب بمساحة 145 م2</t>
  </si>
  <si>
    <t>AQ-RE-101056</t>
  </si>
  <si>
    <t>الجويدة (134)</t>
  </si>
  <si>
    <t>الشحيمينيات (3)</t>
  </si>
  <si>
    <t>الجويدة</t>
  </si>
  <si>
    <t xml:space="preserve">شقة طابق ارضي في محافظة العاصمة منطقة الجويدة التنظيم سكني أ بمساحة 120 م2_x000D_
</t>
  </si>
  <si>
    <t>AQ-RE-101050</t>
  </si>
  <si>
    <t>المغيرات (3)</t>
  </si>
  <si>
    <t xml:space="preserve">شقة طابق ثالث في محافظة العاصمة منطقة ماركا التنظيم سكني د بمساحة 143 م2_x000D_
</t>
  </si>
  <si>
    <t>AQ-RE-100832</t>
  </si>
  <si>
    <t xml:space="preserve">شقة طابق ثالث مساحة 129 م2 في محافظة العاصمة منطقة  تنظيم سكني د_x000D_
</t>
  </si>
  <si>
    <t>AQ-RE-101049</t>
  </si>
  <si>
    <t xml:space="preserve">شقة طابق ثاني في محافظة العاصمة منطقة ماركا التنظيم سكني د بمساحة 143 م2_x000D_
</t>
  </si>
  <si>
    <t>AQ-RE-100433</t>
  </si>
  <si>
    <t>صويلح (109)</t>
  </si>
  <si>
    <t>سلطاني السلط (4)</t>
  </si>
  <si>
    <t>الكمالية</t>
  </si>
  <si>
    <t>شقة في محافظة العاصمة منطقة الكمالية التنظيم سكني ب  بمساحة 123 م2</t>
  </si>
  <si>
    <t>AQ-RE-100811</t>
  </si>
  <si>
    <t xml:space="preserve">شقة طابق ثالث مساحة 150 م2 في محافظة العاصمة منطقة الياسمين تنظيم سكني ج_x000D_
</t>
  </si>
  <si>
    <t>AQ-RE-101134</t>
  </si>
  <si>
    <t>الشمساني (8)</t>
  </si>
  <si>
    <t>79</t>
  </si>
  <si>
    <t xml:space="preserve">الشقة الجنوبية الغربية من طابق التسوية عدا سطحها في محافظة العاصمة التنظيم سكني ب بمساحة 79 م2_x000D_
</t>
  </si>
  <si>
    <t>AQ-RE-100940</t>
  </si>
  <si>
    <t>جبل النصر</t>
  </si>
  <si>
    <t xml:space="preserve"> شقة طابق اول ( سطح الطابق الأرضي ) في  القويسمة - جبل النصر- تنظيمها سكن د - مساحتها 175 م2 قرب مدارس الناصر الحديثة _x000D_
</t>
  </si>
  <si>
    <t>AQ-RE-100936</t>
  </si>
  <si>
    <t>اراضي ناعور (7)</t>
  </si>
  <si>
    <t>ناعور (162)</t>
  </si>
  <si>
    <t>الحجار (2)</t>
  </si>
  <si>
    <t>مرج الحمام</t>
  </si>
  <si>
    <t>شقة طابق ارضي في محافظة العاصمة منطقة مرج الحمام التنظيم سكني ب بمساحة 110 م2</t>
  </si>
  <si>
    <t>AQ-RE-101048</t>
  </si>
  <si>
    <t xml:space="preserve">شقة طابق اول في محافظة العاصمة منطقة ماركا التنظيم سكني د بمساحة 143 م2_x000D_
</t>
  </si>
  <si>
    <t>AQ-RE-100182</t>
  </si>
  <si>
    <t>الجبيهه (2)</t>
  </si>
  <si>
    <t>155</t>
  </si>
  <si>
    <t>شقة طابق تسوية مساحة 155 م2 في محافظة العاصمة منطقة صويلح  تنظيم سكني ب</t>
  </si>
  <si>
    <t>AQ-RE-101053</t>
  </si>
  <si>
    <t>جحره الشمالي (40)</t>
  </si>
  <si>
    <t>116</t>
  </si>
  <si>
    <t xml:space="preserve">شقة طابق تسوية في محافظة العاصمة منطقة الياسمين التنظيم سكني ج بمساحة 116 م2_x000D_
</t>
  </si>
  <si>
    <t>AQ-RE-100830</t>
  </si>
  <si>
    <t xml:space="preserve">شقة طابق ثاني مساحة 129 م2 في محافظة العاصمة منطقة  تنظيم سكني د_x000D_
</t>
  </si>
  <si>
    <t>AQ-RE-101122</t>
  </si>
  <si>
    <t xml:space="preserve">شقة جنوبية غربية من الطابق الثاني في طبربور التنظيم سكني ب بمساحة 150 م2_x000D_
</t>
  </si>
  <si>
    <t>AQ-RE-100549</t>
  </si>
  <si>
    <t>163.000</t>
  </si>
  <si>
    <t xml:space="preserve"> شقة طابق تسوية في طبربور - حي الشهيد - تنظيمها سكن ج - مساحتها 163 م2 بناء رقم  54 شارع فائق الشلول _x000D_
</t>
  </si>
  <si>
    <t>AQ-RE-100122</t>
  </si>
  <si>
    <t>ام اذينات (6)</t>
  </si>
  <si>
    <t>شقة طابق ثالث في القويسمة مساحتها 150 م2  - تنظيمها سكن ب - بناء رقم  233 قرب دفاع مدني القويسمة</t>
  </si>
  <si>
    <t>AQ-RE-100039</t>
  </si>
  <si>
    <t>اراضي غرب عمان (2)</t>
  </si>
  <si>
    <t>وادي السير (62)</t>
  </si>
  <si>
    <t>الدربيات (14)</t>
  </si>
  <si>
    <t>وادي السير</t>
  </si>
  <si>
    <t>138</t>
  </si>
  <si>
    <t xml:space="preserve"> شقة طابق ثالث في منطقة البيادر - تنظيمها سكن ج - مساحتها 138 م2 - شارع اسماعيل العقيلي - قرب دوار الدفاع المدني _x000D_
</t>
  </si>
  <si>
    <t>AQ-RE-101146</t>
  </si>
  <si>
    <t>الأمير حمزة</t>
  </si>
  <si>
    <t>149</t>
  </si>
  <si>
    <t xml:space="preserve">الشقة الجنوبية الشرقية من طابق التسوية الثانية عدا سطحها في محافظة العاصمة التنظيم سكني أ بمساحة 149 م2_x000D_
</t>
  </si>
  <si>
    <t>AQ-RE-100634</t>
  </si>
  <si>
    <t>219</t>
  </si>
  <si>
    <t>شقة طابق تسوية في محافظة العاصمة منطقة الذراع التنظيم سكني د بمساحة 219 م2</t>
  </si>
  <si>
    <t>AQ-RE-101047</t>
  </si>
  <si>
    <t>شقة طابق ارضي في محافظة العاصمة منطقة ماركا التنظيم سكني د بمساحة 143 م2</t>
  </si>
  <si>
    <t>AQ-RE-100123</t>
  </si>
  <si>
    <t>شقة طابق ثالث في القويسمة مساحتها 150 م2  - تنظيمها سكن ب - قرب مركز امن القويسمة ومدرسة يافا الأساسية للبنات</t>
  </si>
  <si>
    <t>AQ-RE-100868</t>
  </si>
  <si>
    <t>156</t>
  </si>
  <si>
    <t>شقة طابق اول في محافظة العاصمة منطقة طبربور التنظيم سكني ب بمساحة 156 م2</t>
  </si>
  <si>
    <t>AQ-RE-100826</t>
  </si>
  <si>
    <t xml:space="preserve">شقة طابق ارضي مساحة 129 م2 في محافظة العاصمة منطقة أبو نصير تنظيم سكني د_x000D_
</t>
  </si>
  <si>
    <t>AQ-RE-100115</t>
  </si>
  <si>
    <t>شقة طابق اول في طبربور - تنظيمها سكن ب - مساحتها 167 م2 - بناء رقم  39 قرب عريفة مول و مسجد عباس الشريدة</t>
  </si>
  <si>
    <t>AQ-RE-100828</t>
  </si>
  <si>
    <t xml:space="preserve">شقة طابق اول مساحة 129 م2 في محافظة العاصمة منطقة أبو نصير تنظيم سكني د_x000D_
</t>
  </si>
  <si>
    <t>AQ-RE-101039</t>
  </si>
  <si>
    <t>178</t>
  </si>
  <si>
    <t>شقة طابق ارضي في محافظة العاصمة منطقة القويسمة التنظيم سكني د بمساحة 178 م2</t>
  </si>
  <si>
    <t>AQ-RE-100632</t>
  </si>
  <si>
    <t>AQ-RE-101182</t>
  </si>
  <si>
    <t xml:space="preserve">شقة طابق ثاني في محافظة العاصمة منطقة طبربور التنظيم سكني ب بمساحة 138 م2_x000D_
</t>
  </si>
  <si>
    <t>AQ-RE-100825</t>
  </si>
  <si>
    <t xml:space="preserve">شقة طابق تسوية مساحة 129 م2 في محافظة العاصمة منطقة أبو نصير تنظيم سكني د_x000D_
</t>
  </si>
  <si>
    <t>AQ-RE-101009</t>
  </si>
  <si>
    <t>ام قصير و المقابلين (143)</t>
  </si>
  <si>
    <t>ابو القعفور (1)</t>
  </si>
  <si>
    <t>المقابلين</t>
  </si>
  <si>
    <t>شقة طابق ثاني في محافظة العاصمة منطقة المقابلين التنظيم سكني ب بمساحة 158 م2</t>
  </si>
  <si>
    <t>AQ-RE-100869</t>
  </si>
  <si>
    <t>شقة طابق ارضي في محافظة العاصمة منطقة طبربور التنظيم سكني ب بمساحة 156 م2</t>
  </si>
  <si>
    <t>AQ-RE-100635</t>
  </si>
  <si>
    <t>شقة طابق ارضي في محافظة العاصمة منطقة الذراع التنظيم سكني د بمساحة 219 م2</t>
  </si>
  <si>
    <t>AQ-RE-100870</t>
  </si>
  <si>
    <t>بدران (118)</t>
  </si>
  <si>
    <t>طاب كراع (10)</t>
  </si>
  <si>
    <t>شفا بدران</t>
  </si>
  <si>
    <t>شقة في محافظة العاصمة منطقة شفا بدران التنظيم سكني ب  بمساحة 145 م2</t>
  </si>
  <si>
    <t>AQ-RE-101078</t>
  </si>
  <si>
    <t>188</t>
  </si>
  <si>
    <t xml:space="preserve">شقة طابق اول في محافظة العاصمة منطقة طبربور التنظيم سكني ب بمساحة 188 م2_x000D_
</t>
  </si>
  <si>
    <t>AQ-RE-100921</t>
  </si>
  <si>
    <t>وادي الكبرا (15)</t>
  </si>
  <si>
    <t>ناعور</t>
  </si>
  <si>
    <t>173</t>
  </si>
  <si>
    <t xml:space="preserve">شقة طابق ارضي مساحة 173 م2 في محافظة العاصمة منطقة ناعور تنظيم سكني ب_x000D_
</t>
  </si>
  <si>
    <t>AQ-RE-100749</t>
  </si>
  <si>
    <t>179</t>
  </si>
  <si>
    <t>شقة طابق تسوية مساحة 179 م2 في محافظة العاصمة منطقة الياسمين  تنظيم سكني ج</t>
  </si>
  <si>
    <t>AQ-RE-100886</t>
  </si>
  <si>
    <t>البيادر</t>
  </si>
  <si>
    <t>227</t>
  </si>
  <si>
    <t>شقة طابق ثاني في محافظة العاصمة منطقة البيادر التنظيم سكني ج بمساحة 227 م2</t>
  </si>
  <si>
    <t>AQ-RE-101095</t>
  </si>
  <si>
    <t xml:space="preserve">شقة طابق ارضي في طبربور منطقة المباله التنظيم سكني ب بمساحة 150 م2_x000D_
</t>
  </si>
  <si>
    <t>AQ-RE-100326</t>
  </si>
  <si>
    <t>مرج الاجرب (8)</t>
  </si>
  <si>
    <t xml:space="preserve">شقة طابق تسوية مساحة 168 م2 في محافظة العاصمة منطقة شفا بدران تنظيم سكني ب_x000D_
</t>
  </si>
  <si>
    <t>AQ-RE-100113</t>
  </si>
  <si>
    <t>المدورة (6)</t>
  </si>
  <si>
    <t xml:space="preserve"> شقة طابق ثالث في مرج الحمام  - تنظيمها سكن ج - مساحتها 183 م2 - خلف مركز افاق التعليمي_x000D_
</t>
  </si>
  <si>
    <t>AQ-RE-100521</t>
  </si>
  <si>
    <t>دير غبار (16)</t>
  </si>
  <si>
    <t>دير غبار</t>
  </si>
  <si>
    <t>161.000</t>
  </si>
  <si>
    <t xml:space="preserve"> شقة طابق ثاني في بيادر وادي السير-السهل - تنظيمها سكن ب - مساحتها 161 م2 - قرب مسجد أبو عيشة وصيدلية حبة العلقم_x000D_
</t>
  </si>
  <si>
    <t>AQ-RE-100499</t>
  </si>
  <si>
    <t>186.000</t>
  </si>
  <si>
    <t xml:space="preserve"> شقة طابق ثالث في ضاحية الياسمين - تنظيمها سكن ج - مساحتها 186 م2 - شارع اياس بن ثعلبة - قرب دوار الخريطة_x000D_
</t>
  </si>
  <si>
    <t>AQ-RE-101001</t>
  </si>
  <si>
    <t>الجندويل (7)</t>
  </si>
  <si>
    <t>الجندويل</t>
  </si>
  <si>
    <t>شقة طابق ارضي في محافظة العاصمة منطقة الجندويل التنظيم سكني ب بمساحة 141 م2</t>
  </si>
  <si>
    <t>AQ-RE-100565</t>
  </si>
  <si>
    <t>البنيات (163)</t>
  </si>
  <si>
    <t>اللفتاويه (2)</t>
  </si>
  <si>
    <t>البنيات</t>
  </si>
  <si>
    <t>213</t>
  </si>
  <si>
    <t xml:space="preserve"> شقة طابق تسوية في منطقة البنيات - تنظيمها سكن ب - مساحتها 213 م2 - شارع سعيد بن المبارك - قرب مديرية الامن العام - بناء رقم 13 _x000D_
</t>
  </si>
  <si>
    <t>AQ-RE-101197</t>
  </si>
  <si>
    <t>مرج الحمام الغربي (57)</t>
  </si>
  <si>
    <t>187</t>
  </si>
  <si>
    <t xml:space="preserve">شقة طابق تسوية في محافظة العاصمة منطقة مرج الحمام التنظيم سكني ب بمساحة 187 م2_x000D_
</t>
  </si>
  <si>
    <t>AQ-RE-100028</t>
  </si>
  <si>
    <t xml:space="preserve"> شقة ارضية في منطقة تلاع العلي مساحتها 173 م2  قرب مداس النظم الحديثة للبنين_x000D_
</t>
  </si>
  <si>
    <t>AQ-RE-100404</t>
  </si>
  <si>
    <t>عرجان (1)</t>
  </si>
  <si>
    <t>عرجان</t>
  </si>
  <si>
    <t>330</t>
  </si>
  <si>
    <t xml:space="preserve">شقة طابق اول مساحة 330 م2 في محافظة العاصمة منطقة عرجان تنظيم سكني ب_x000D_
</t>
  </si>
  <si>
    <t>AQ-RE-100257</t>
  </si>
  <si>
    <t>خربة الصويفية (15)</t>
  </si>
  <si>
    <t>الصويفية</t>
  </si>
  <si>
    <t>181</t>
  </si>
  <si>
    <t>شقة طابق اول في الصويفية - تنظيمها سكن أ - مساحتها 181 م2 - شارع عبدالرحمن غريب - بناء رقم 14 ب</t>
  </si>
  <si>
    <t>AQ-RE-100100</t>
  </si>
  <si>
    <t>ام اذينه الشمالي (19)</t>
  </si>
  <si>
    <t>ام اذينة</t>
  </si>
  <si>
    <t>194</t>
  </si>
  <si>
    <t xml:space="preserve">شقة طابق اول مساحة 194 م2 في محافظة العاصمة منطقة ام اذينة تنظيم سكني ب_x000D_
</t>
  </si>
  <si>
    <t>AQ-RE-101008</t>
  </si>
  <si>
    <t>252</t>
  </si>
  <si>
    <t>شقة طابق تسوية في محافظة العاصمة منطقة ام اذينة التنظيم سكني ب بمساحة 252 م2</t>
  </si>
  <si>
    <t>AQ-RE-101058</t>
  </si>
  <si>
    <t>778.010</t>
  </si>
  <si>
    <t xml:space="preserve">عقار سكني يقع في محافظة العاصمة منطقة خريبة السوق وجاوا التنظيم السكني ج مساحة القطعة 778.01 م2_x000D_
</t>
  </si>
  <si>
    <t>AQ-RE-100536</t>
  </si>
  <si>
    <t>شقة دوبلكس</t>
  </si>
  <si>
    <t xml:space="preserve"> شقة طابق ثاني في منطقة تلاع العلي مساحتها 95 م2 قرب مسجد سيد المرسلين - شارع حافظ عبداللطيف عامر _x000D_
</t>
  </si>
  <si>
    <t>AQ-BLD-100596</t>
  </si>
  <si>
    <t>خربة سكا (1)</t>
  </si>
  <si>
    <t>926</t>
  </si>
  <si>
    <t>عقار تجاري في محافظة العاصمة منطقة مرج الحمام تنظيم تجاري عادي سكن أ مكون من 3 طوابق تسوية وارضي واول  مساحة الارض 926 م2 قرب جسر مرج الحمام الجديد _x000D_
طابق التسوية : مساحته 644 م2 ومؤلف من مستودعات_x000D_
الطابق الأرضي: مساحته 644 م2 ومؤلف من مخازن تجارية عدد 9 ضمن احداها سدة علوية_x000D_
الطابق الأول: مساحته 306 م2 ومؤلف من شقق سكنية عدد 3</t>
  </si>
  <si>
    <t>AQ-BLD-100162</t>
  </si>
  <si>
    <t>جبل الأشرفية</t>
  </si>
  <si>
    <t xml:space="preserve">عقار سكني في محافظة العاصمة منطقة الاشرفية - طلوع المصدار تنظيم سكني د مكون من طابقين ارضي وأول مساحة الارض 188 م2 ومساحة البناء الاجمالية 248 م2 وعبارة عن شقق عدد 3 ويقع قرب مفروشات العبسي - طلوع المصدار _x000D_
</t>
  </si>
  <si>
    <t>AQ-BLD-100946</t>
  </si>
  <si>
    <t>مغاير مهنا الغربي (2)</t>
  </si>
  <si>
    <t>364.560</t>
  </si>
  <si>
    <t>عقار سكني في محافظة العاصمة منطقة الموقر التنظيم سكني ج مساحة الأرض 364.560 مساحة البناء الاجمالية 110 م2</t>
  </si>
  <si>
    <t>AQ-BLD-100756</t>
  </si>
  <si>
    <t>555</t>
  </si>
  <si>
    <t>عقار سكني - في منطقة (ماركا) - تنظيم (سكني - ج) - مساحة الأرض (555) - مساحة البناء الاجمالية (259) م2 - مكون من (2) طابق - قرب (جنوب غرب مركز الملكة رانية للأسرة والأطفال 225م وغرب مسجد الفردوس 235م)</t>
  </si>
  <si>
    <t>AQ-BLD-101060</t>
  </si>
  <si>
    <t>390.79</t>
  </si>
  <si>
    <t xml:space="preserve">عقار قيد الانشاء (اساسات فقط) في محافظة العاصمة منطقة ماركا التنظيم سكني د مساحة الأرض 390 م2_x000D_
</t>
  </si>
  <si>
    <t>AQ-BLD-100472</t>
  </si>
  <si>
    <t>البيضاء (133)</t>
  </si>
  <si>
    <t>الحميدين (3)</t>
  </si>
  <si>
    <t>البيضاء</t>
  </si>
  <si>
    <t>530</t>
  </si>
  <si>
    <t xml:space="preserve">عقار سكني في محافظة العاصمة منطقة احد تنظيم سكني ج مكون من طابقين تسوية وارضي مقام على ارض مساحتها 530 م2 ومساحة البناء الاجمالية 400 م2 ويقع في منطقة احد - البيضاء - شمال شرق مسجد مصيبيح المساعيد_x000D_
</t>
  </si>
  <si>
    <t>AQ-BLD-100068</t>
  </si>
  <si>
    <t>عين ام جوزه (3)</t>
  </si>
  <si>
    <t>صويلح</t>
  </si>
  <si>
    <t>787</t>
  </si>
  <si>
    <t xml:space="preserve">عقار سكني في محافظة العاصمة منطقة صويلح تنظيم سكني ب مكون من 3 طوابق تسوية وارضي وأول مقام على ارض مساحتها 787 م2 ومساحة البناء الاجمالية 634 م2 ويقع بجانب مدرسة و روضة الظفرة النموذجية - مقابل مسجد الشيخ أحمد صويلح _x000D_
</t>
  </si>
  <si>
    <t>AQ-BLD-100563</t>
  </si>
  <si>
    <t>رجم الشامي (147)</t>
  </si>
  <si>
    <t>الحيارات (4)</t>
  </si>
  <si>
    <t>761.610</t>
  </si>
  <si>
    <t xml:space="preserve">عقار سكني في محافظة العاصمة منطقة الموقر - رجم الشامي تنظيم سكني ب مكون من 3 طوابق ارضي وأول وثاني مقام على ارض مساحتها 762 م2 ومساحة البناء الاجمالية 780 م2 ويقع في منطقة الموقر - رجم الشامي - قرب مسجد الصديق ومدرسة رجم الشامي الجنوبي الأساسية_x000D_
</t>
  </si>
  <si>
    <t>AQ-BLD-100531</t>
  </si>
  <si>
    <t>عقار سكني في محافظة العاصمة منطقة القويسمة التنظيم سكني أ مساحة الأرض 762 مساحة البناء الاجمالية 432 م2</t>
  </si>
  <si>
    <t>AQ-BLD-101018</t>
  </si>
  <si>
    <t>اللبن (26)</t>
  </si>
  <si>
    <t>البلد (9)</t>
  </si>
  <si>
    <t>اللبّن</t>
  </si>
  <si>
    <t>805.580</t>
  </si>
  <si>
    <t>عقار سكني في محافظة العاصمة منطقة اللبّن التنظيم سكني ج مساحة الأرض 805.580 مساحة البناء الاجمالية 357 م2</t>
  </si>
  <si>
    <t>AQ-BLD-100839</t>
  </si>
  <si>
    <t>506</t>
  </si>
  <si>
    <t>عقار سكني في محافظة العاصمة منطقة خربة السوق تنظيم سكني ج مكون من 4 طوابق تسوية أولى وتسوية ثانية وارضي وأول - مساحة الارض 506 م2 ومساحة البناء الاجمالية 650 م2 قرب مركز امن الجويدة</t>
  </si>
  <si>
    <t>AQ-BLD-100095</t>
  </si>
  <si>
    <t>سحاب (150)</t>
  </si>
  <si>
    <t>سلبود (5)</t>
  </si>
  <si>
    <t>سحاب</t>
  </si>
  <si>
    <t>1176</t>
  </si>
  <si>
    <t xml:space="preserve">عقار سكني قيد الانشاء في محافظة العاصمة منطقة سحاب - سلبود تنظيم سكني ب مكون من 3 طوابق ارضي وأول وثاني مقام على ارض مساحتها 1176 م2 ومساحة البناء الاجمالية 907 م2 ويقع في منطقة سحاب - جنوب ستاد سلبود الرياضي - مقابل سوبر ماركت ابو أسامة_x000D_
</t>
  </si>
  <si>
    <t>AQ-BLD-100741</t>
  </si>
  <si>
    <t>ابو صوانه (4)</t>
  </si>
  <si>
    <t>891</t>
  </si>
  <si>
    <t xml:space="preserve">عقار سكني شبه فيلا في محافظة العاصمة منطقة سحاب - سلبود تنظيم سكني ب مكون من 4 طوابق تسوية وارضي وأول وثاني مقام على ارض مساحتها 891 م2 ومساحة البناء الاجمالية 908 م2 ويقع في منطقة سحاب - شمال مدرسة سلبود_x000D_
</t>
  </si>
  <si>
    <t>AQ-LND-100413</t>
  </si>
  <si>
    <t>حنو السكه (7)</t>
  </si>
  <si>
    <t>771</t>
  </si>
  <si>
    <t xml:space="preserve">محافظة العاصمة - اراضي جنوب عمان - قرية اللبن - حوض حنو السكة 7 - مساحتها - 771 م2 منظمة سكن ب_x000D_
</t>
  </si>
  <si>
    <t>AQ-LND-100476</t>
  </si>
  <si>
    <t>754</t>
  </si>
  <si>
    <t xml:space="preserve">محافظة العاصمة - اراضي جنوب عمان - قرية اللبن - حوض حنو السكة 7 - مساحتها - 754 م2 منظمة سكن ب_x000D_
</t>
  </si>
  <si>
    <t>AQ-LND-101037</t>
  </si>
  <si>
    <t>المدورة (9)</t>
  </si>
  <si>
    <t>البقعه</t>
  </si>
  <si>
    <t>501</t>
  </si>
  <si>
    <t xml:space="preserve">قطعة ارض في محافظة العاصمة منطقة البقعة التنظيم سكني ج مساحة الأرض 501 م2_x000D_
</t>
  </si>
  <si>
    <t>AQ-LND-100419</t>
  </si>
  <si>
    <t xml:space="preserve">محافظة العاصمة - اراضي جنوب عمان - قرية اللبن - حوض حنو السكة 7 - مساحتها - 737 م2 منظمة سكن ب_x000D_
</t>
  </si>
  <si>
    <t>AQ-LND-100421</t>
  </si>
  <si>
    <t>841</t>
  </si>
  <si>
    <t xml:space="preserve">محافظة العاصمة - اراضي جنوب عمان - قرية اللبن - حوض حنو السكة 7 - مساحتها - 841 م2 منظمة سكن ب_x000D_
</t>
  </si>
  <si>
    <t>AQ-LND-100417</t>
  </si>
  <si>
    <t>850</t>
  </si>
  <si>
    <t xml:space="preserve">محافظة العاصمة - اراضي جنوب عمان - قرية اللبن - حوض حنو السكة 7 - مساحتها - 850 م2 منظمة سكن ب_x000D_
</t>
  </si>
  <si>
    <t>AQ-LND-101032</t>
  </si>
  <si>
    <t>625</t>
  </si>
  <si>
    <t>قطعة ارض في محافظة العاصمة منطقة ابو نصير التنظيم سكني زراعي مساحة الأرض 625 م2</t>
  </si>
  <si>
    <t>AQ-LND-101302</t>
  </si>
  <si>
    <t>القسطل (22)</t>
  </si>
  <si>
    <t>عرقوب النعام (12)</t>
  </si>
  <si>
    <t>القسطل</t>
  </si>
  <si>
    <t>492.270</t>
  </si>
  <si>
    <t xml:space="preserve">قطعة ارض في محافظة العاصمة منطقة القسطل التنظيم سكني سكن باحكام خاصة مساحة الأرض 492.270 م2_x000D_
</t>
  </si>
  <si>
    <t>AQ-LND-100425</t>
  </si>
  <si>
    <t>884</t>
  </si>
  <si>
    <t xml:space="preserve">محافظة العاصمة - اراضي جنوب عمان - قرية اللبن - حوض حنو السكة 7 - مساحتها - 884 م2 منظمة سكن ب_x000D_
</t>
  </si>
  <si>
    <t>AQ-LND-101093</t>
  </si>
  <si>
    <t>حنو ربه (1)</t>
  </si>
  <si>
    <t>900</t>
  </si>
  <si>
    <t>قطعة ارض شرق شارع سحاب الرئيسي تنظيمها سكن ب وخالية من الابنية والانشاءات وتصلح للبناء ويوجد كافة الخدمات</t>
  </si>
  <si>
    <t>AQ-LND-100452</t>
  </si>
  <si>
    <t>576.360</t>
  </si>
  <si>
    <t xml:space="preserve">قطعة ارض  مساحة 576.360 م2 في محافظة العاصمة منطقة ام نوارة تنظيم سكني ج_x000D_
</t>
  </si>
  <si>
    <t>AQ-LND-101291</t>
  </si>
  <si>
    <t>الغزلانيات (10)</t>
  </si>
  <si>
    <t>675</t>
  </si>
  <si>
    <t xml:space="preserve">قطعة ارض في محافظة العاصمة منطقة القسطل التنظيم سكني ب مساحة الأرض 675 م2_x000D_
</t>
  </si>
  <si>
    <t>AQ-LND-101290</t>
  </si>
  <si>
    <t>AQ-LND-101288</t>
  </si>
  <si>
    <t>AQ-LND-101287</t>
  </si>
  <si>
    <t>AQ-LND-101289</t>
  </si>
  <si>
    <t>AQ-LND-101295</t>
  </si>
  <si>
    <t>769</t>
  </si>
  <si>
    <t xml:space="preserve">قطعة ارض في محافظة العاصمة منطقة القسطل التنظيم سكني ب مساحة الأرض 769 م2_x000D_
</t>
  </si>
  <si>
    <t>AQ-LND-101293</t>
  </si>
  <si>
    <t>AQ-LND-101294</t>
  </si>
  <si>
    <t>AQ-LND-101292</t>
  </si>
  <si>
    <t>AQ-LND-101296</t>
  </si>
  <si>
    <t>AQ-LND-100103</t>
  </si>
  <si>
    <t>802</t>
  </si>
  <si>
    <t>محافظة العاصمة - أراضي شمال عمان - قرية ابو نصير_x000D_
_x000D_
قطعة ارض خالية من الابنية والانشاءات مساحتها - 802 م2 تنظيم سكن ب _x000D_
الموقع: أبو نصير - جنوب مدرسة أبو نصير الثانوية للبنات - قرب مسجد أبو نصير</t>
  </si>
  <si>
    <t>AQ-LND-101301</t>
  </si>
  <si>
    <t>الحاوي (2)</t>
  </si>
  <si>
    <t>977</t>
  </si>
  <si>
    <t xml:space="preserve">قطعة ارض في محافظة العاصمة منطقة عين الباشا التنظيم سكني سكن خاص  مساحة الأرض 977  م2_x000D_
</t>
  </si>
  <si>
    <t>AQ-LND-100424</t>
  </si>
  <si>
    <t>الوسيه (7)</t>
  </si>
  <si>
    <t>1322</t>
  </si>
  <si>
    <t xml:space="preserve">محافظة العاصمة - اراضي جنوب عمان - قرية القويسمة - حوض الوسية 7 - مساحتها -1,322 م2 منظمة سكن د_x000D_
</t>
  </si>
  <si>
    <t>AQ-LND-101285</t>
  </si>
  <si>
    <t>ام العمد (34)</t>
  </si>
  <si>
    <t>البركه (4)</t>
  </si>
  <si>
    <t>أم العمد</t>
  </si>
  <si>
    <t>1701</t>
  </si>
  <si>
    <t xml:space="preserve">قطعة ارض في محافظة العاصمة منطقة أم العمد التنظيم سكني ريفي مساحة الأرض 1701 م2_x000D_
</t>
  </si>
  <si>
    <t>AQ-LND-101275</t>
  </si>
  <si>
    <t>AQ-LND-101281</t>
  </si>
  <si>
    <t>1700</t>
  </si>
  <si>
    <t xml:space="preserve">قطعة ارض في محافظة العاصمة منطقة ام العمد التنظيم سكني ريفي مساحة الأرض 1700 م2_x000D_
</t>
  </si>
  <si>
    <t>AQ-LND-101283</t>
  </si>
  <si>
    <t>AQ-LND-101280</t>
  </si>
  <si>
    <t>AQ-LND-101277</t>
  </si>
  <si>
    <t xml:space="preserve">قطعة ارض في محافظة العاصمة منطقة ام العمد التنظيم سكني ريفي مساحة الأرض 1701 م2_x000D_
</t>
  </si>
  <si>
    <t>AQ-LND-101273</t>
  </si>
  <si>
    <t>1705</t>
  </si>
  <si>
    <t xml:space="preserve">قطعة ارض في محافظة العاصمة منطقة ام العمد التنظيم سكني ريفي مساحة الأرض 1705 م2_x000D_
</t>
  </si>
  <si>
    <t>AQ-LND-101286</t>
  </si>
  <si>
    <t>1702</t>
  </si>
  <si>
    <t xml:space="preserve">قطعة ارض في محافظة العاصمة منطقة أم العمد التنظيم سكني ريفي مساحة الأرض 1702 م2_x000D_
</t>
  </si>
  <si>
    <t>AQ-LND-101284</t>
  </si>
  <si>
    <t>AQ-LND-101278</t>
  </si>
  <si>
    <t xml:space="preserve">قطعة ارض في محافظة العاصمة منطقة أم العمد التنظيم سكني ريفي مساحة الأرض 1700 م2_x000D_
</t>
  </si>
  <si>
    <t>AQ-LND-101271</t>
  </si>
  <si>
    <t>AQ-LND-101282</t>
  </si>
  <si>
    <t>AQ-LND-101279</t>
  </si>
  <si>
    <t>AQ-LND-101274</t>
  </si>
  <si>
    <t>AQ-LND-101276</t>
  </si>
  <si>
    <t>1707</t>
  </si>
  <si>
    <t xml:space="preserve">قطعة ارض في محافظة العاصمة منطقة ام العمد التنظيم سكني ريفي مساحة الأرض 1707 م2_x000D_
</t>
  </si>
  <si>
    <t>AQ-LND-101300</t>
  </si>
  <si>
    <t>عيون الذيب (4)</t>
  </si>
  <si>
    <t xml:space="preserve">قطعة ارض في محافظة العاصمة منطقة شفا بدران التنظيم سكني ب مساحة الأرض 762 م2_x000D_
</t>
  </si>
  <si>
    <t>AQ-LND-101298</t>
  </si>
  <si>
    <t>الظهير (19)</t>
  </si>
  <si>
    <t>الظهير</t>
  </si>
  <si>
    <t>1090</t>
  </si>
  <si>
    <t xml:space="preserve">قطعة ارض في محافظة العاصمة منطقة الظهير التنظيم متعدد الاستعمال مساحة الأرض 1090 م2_x000D_
</t>
  </si>
  <si>
    <t>AQ-RE-100186</t>
  </si>
  <si>
    <t>مكتب</t>
  </si>
  <si>
    <t>سلطاني الجبيهه (9)</t>
  </si>
  <si>
    <t>شارع المدينة</t>
  </si>
  <si>
    <t>مكتب في شارع المدينة المنورة - قرب مستشفى ابن الهيثم وهو المكتب رقم 9 في الطابق الثالث من مجمع الباسم 1 ومساحته تبلغ 116 م2</t>
  </si>
  <si>
    <t>AQ-RE-101003</t>
  </si>
  <si>
    <t>ام تينه (9)</t>
  </si>
  <si>
    <t>725</t>
  </si>
  <si>
    <t xml:space="preserve">مكتب في محافظة العاصمة منطقة صويلح التنظيم تجاري محلي سكن ب مساحة 725 م2_x000D_
</t>
  </si>
  <si>
    <t>AQ-RE-101330</t>
  </si>
  <si>
    <t>محافظة العقبة</t>
  </si>
  <si>
    <t>اراضي العقبه (34)</t>
  </si>
  <si>
    <t>العقبة (637)</t>
  </si>
  <si>
    <t>الرمال (17)</t>
  </si>
  <si>
    <t>الرمال</t>
  </si>
  <si>
    <t>58</t>
  </si>
  <si>
    <t xml:space="preserve">شقة طابق ثاني في محافظة العقبة منطقة الرمال التنظيم سكني بمساحة 58 م2_x000D_
</t>
  </si>
  <si>
    <t>AQ-RE-100637</t>
  </si>
  <si>
    <t>السلام (28)</t>
  </si>
  <si>
    <t>السكنية 5</t>
  </si>
  <si>
    <t>64</t>
  </si>
  <si>
    <t>شقة طابق اول في محافظة العقبة منطقة السكنية الخامسة التنظيم سكني سكن خاص  بمساحة 64 م2</t>
  </si>
  <si>
    <t>AQ-RE-100093</t>
  </si>
  <si>
    <t>الاتحاد (31)</t>
  </si>
  <si>
    <t>السكنية 3</t>
  </si>
  <si>
    <t>93</t>
  </si>
  <si>
    <t xml:space="preserve">شقة طابق ثاني مساحة 93 م2 في محافظة العقبة منطقة الشامية تنظيم سكني تطوير حضري </t>
  </si>
  <si>
    <t>AQ-RE-100368</t>
  </si>
  <si>
    <t>الشامية</t>
  </si>
  <si>
    <t>شقة طابق تسوية في محافظة العقبة منطقة الشامية التنظيم سكني تطوير حضري _x000D_
 بمساحة 93 م2</t>
  </si>
  <si>
    <t>AQ-RE-100650</t>
  </si>
  <si>
    <t xml:space="preserve">شقة طابق ثاني مساحة 93 م2 في محافظة العقبة منطقة الشامية تنظيم سكني تطوير حضري_x000D_
</t>
  </si>
  <si>
    <t>AQ-RE-100640</t>
  </si>
  <si>
    <t>شقة طابق اول مساحة 109 م2 في محافظة العقبة منطقة الشامية تنظيم سكني تطوير حضري</t>
  </si>
  <si>
    <t>AQ-RE-101089</t>
  </si>
  <si>
    <t>ام نصيلة (23)</t>
  </si>
  <si>
    <t>السكنية 9</t>
  </si>
  <si>
    <t>78</t>
  </si>
  <si>
    <t xml:space="preserve">شقة طابق ثاني في محافظة العقبة منطقة السكنية 9 التنظيم سكني بمساحة 78 م2_x000D_
</t>
  </si>
  <si>
    <t>AQ-RE-101073</t>
  </si>
  <si>
    <t>وادي الحصاني (24)</t>
  </si>
  <si>
    <t>92</t>
  </si>
  <si>
    <t xml:space="preserve">الشقة الشمالية من الطابق الارضي في محافظة العقبة التنظيم سكني بمساحة 92 م2_x000D_
</t>
  </si>
  <si>
    <t>AQ-BLD-100962</t>
  </si>
  <si>
    <t>الصناعات الخفيفه (30)</t>
  </si>
  <si>
    <t>الحرفية</t>
  </si>
  <si>
    <t>5200.160</t>
  </si>
  <si>
    <t>هنجر في محافظة العقبة منطقة الحرفية التنظيم صناعي صناعات حرفية مساحة الأرض 5200.160 مساحة البناء الاجمالية 2400 م2</t>
  </si>
  <si>
    <t>AQ-RE-100255</t>
  </si>
  <si>
    <t>محافظة الكرك</t>
  </si>
  <si>
    <t>اراضي المزار الجنوبي (29)</t>
  </si>
  <si>
    <t>جحرا (586)</t>
  </si>
  <si>
    <t>المزار الجنوبي</t>
  </si>
  <si>
    <t xml:space="preserve">شقة طابق اول مساحة 113 م2 في محافظة الكرك منطقة المزار الجنوبي - حي أبو دراج - تنظيم سكني د_x000D_
</t>
  </si>
  <si>
    <t>AQ-RE-100121</t>
  </si>
  <si>
    <t>اراضي الكرك (27)</t>
  </si>
  <si>
    <t>الكنار (509)</t>
  </si>
  <si>
    <t>الفج (7)</t>
  </si>
  <si>
    <t>الثنية</t>
  </si>
  <si>
    <t xml:space="preserve">شقة طابق ثالث مساحة 139 م2 في محافظة الكرك منطقة الثنية تنظيم سكني ج_x000D_
</t>
  </si>
  <si>
    <t>AQ-RE-101005</t>
  </si>
  <si>
    <t>اراضي الأغوار الجنوبية (39)</t>
  </si>
  <si>
    <t>غور الصافي (523)</t>
  </si>
  <si>
    <t>الجبل (39)</t>
  </si>
  <si>
    <t>292.48</t>
  </si>
  <si>
    <t xml:space="preserve">عقار سكني يقع في محافظة الكرك منطقة غور الصافي حي الجبل التنظيم السكني د مساحة القطعة 292.48 م2_x000D_
</t>
  </si>
  <si>
    <t>AQ-BLD-100890</t>
  </si>
  <si>
    <t>غور فيفة (529)</t>
  </si>
  <si>
    <t>البلد (15)</t>
  </si>
  <si>
    <t>510</t>
  </si>
  <si>
    <t>عقار سكني في محافظة الكرك منطقة غور فيفا التنظيم سكني ج مساحة الأرض 510 مساحة البناء الاجمالية 125 م2</t>
  </si>
  <si>
    <t>AQ-BLD-100297</t>
  </si>
  <si>
    <t>النقع (763)</t>
  </si>
  <si>
    <t>461.870</t>
  </si>
  <si>
    <t>"عقار سكني في الكرك - قرية النقع تنظيمه سكن _x000D_
مساحة الأرض 461.870 م2 ومساحة العقار الاجمالية 195 م2 _x000D_
مؤلف من طابق أرضي مساحة 195 م2_x000D_
كما يخدم البناء ترس امامي بمساحة 45 م2 + مطلع درج_x000D_
_x000D_
 الكرك - الاغوار الجنوبية - النقع - حي البلد"</t>
  </si>
  <si>
    <t>AQ-BLD-100990</t>
  </si>
  <si>
    <t>الوادي الابيض (612)</t>
  </si>
  <si>
    <t>البلد (4)</t>
  </si>
  <si>
    <t>2563.210</t>
  </si>
  <si>
    <t>عقار سكني في محافظة الكرك منطقة وادي الأبيض التنظيم سكني ج مساحة الأرض 2563.210 مساحة البناء الاجمالية 180 م2</t>
  </si>
  <si>
    <t>AQ-BLD-100029</t>
  </si>
  <si>
    <t>ادر (501)</t>
  </si>
  <si>
    <t>البلد الشمالي (12)</t>
  </si>
  <si>
    <t>أدر</t>
  </si>
  <si>
    <t>828</t>
  </si>
  <si>
    <t>عقار سكني مصمم بطابقين اتفاقية وارضي مساحتهم الجمالية 262 م2 و مساحة الارض 828 م2 في محافظة الكرك منطقة أدر تجاري سكن محلي ج</t>
  </si>
  <si>
    <t>AQ-BLD-101011</t>
  </si>
  <si>
    <t>الجمعيه (38)</t>
  </si>
  <si>
    <t>287.900</t>
  </si>
  <si>
    <t>عقار سكني في محافظة الكرك منطقة غور الصافي التنظيم سكني د مساحة الأرض 287.900 مساحة البناء الاجمالية 177 م2</t>
  </si>
  <si>
    <t>AQ-BLD-100372</t>
  </si>
  <si>
    <t xml:space="preserve">"عقار سكني في الكرك تنظيمه سكن د_x000D_
مساحة الأرض 288 م2 ومساحة العقار الاجمالية 300 م2 _x000D_
مؤلف من طابقين ( أرضي + اول)_x000D_
مساحة كل طابق 150 متر_x000D_
_x000D_
الكرك – الاغوار الجنوبية – بالقرب من مركز التنمية للموارد الاجتماعية"_x000D_
</t>
  </si>
  <si>
    <t>AQ-BLD-100167</t>
  </si>
  <si>
    <t>المرد (511)</t>
  </si>
  <si>
    <t>تلعة شاهة (7)</t>
  </si>
  <si>
    <t>المشيرفة</t>
  </si>
  <si>
    <t>"عقار سكني في الكرك - المشيرفة تنظيمه سكن ج_x000D_
مساحة الأرض 500 م2 ومساحة العقار الاجمالية 344 م2 _x000D_
مؤلف من طابقين ( تسوية + أرضي )_x000D_
_x000D_
الكرك المشيرفة - شارع المستشفى الحكومي - الجهة الشمالية من قاعات الرويال ومجمع طه الشرفا "</t>
  </si>
  <si>
    <t>AQ-BLD-100674</t>
  </si>
  <si>
    <t>مؤته (595)</t>
  </si>
  <si>
    <t>انجاصه الغربي (2)</t>
  </si>
  <si>
    <t>مؤتة</t>
  </si>
  <si>
    <t>499</t>
  </si>
  <si>
    <t>"عقار سكني في الكرك - مؤتة تنظيمه سكن ج_x000D_
مساحة الأرض 499 م2 ومساحة العقار الاجمالية 358 م2 _x000D_
مؤلف من طابقين ( أرضي + أول )_x000D_
مساحة كل طابق 155 متر 2_x000D_
_x000D_
الكرك المشيرفة - شارع المستشفى الحكومي - الجهة الشمالية من قاعات الرويال ومجمع طه الشرفا "</t>
  </si>
  <si>
    <t>AQ-BLD-100187</t>
  </si>
  <si>
    <t>الكرك (500)</t>
  </si>
  <si>
    <t>بطين ام العقارب (16)</t>
  </si>
  <si>
    <t>المرج</t>
  </si>
  <si>
    <t>784</t>
  </si>
  <si>
    <t>"عقار سكني في الكرك _x000D_
مساحة الأرض784 م2 ومساحة العقار الاجمالية 1203 م2 _x000D_
مؤلف من 5 طوابق (3 تسوية + أرضي + اول)_x000D_
طابق التسوية الأولى خدمات وطابق التسوية الثانية والثالثة كل طابق مكون من شقتين والطابق الأرضي والاول عظم_x000D_
_x000D_
 الكرك - قرب مدرسة المرج الأساسية  وخلف ديوان الخدمة المدنية فرع الكرك"</t>
  </si>
  <si>
    <t>AQ-LND-100542</t>
  </si>
  <si>
    <t>الطيبه (576)</t>
  </si>
  <si>
    <t>المشاريق (24)</t>
  </si>
  <si>
    <t>1867.300</t>
  </si>
  <si>
    <t>محافظة الكرك - اراضي المزار الجنوبي - قرية الطيبة - لوحة 24 الكرك - حوض المشاريق 24 - مساحتها - 1,867.3 م2 لوحة 27 منظمة سكن ب</t>
  </si>
  <si>
    <t>AQ-LND-101013</t>
  </si>
  <si>
    <t>ام حماط (585)</t>
  </si>
  <si>
    <t>البلد (10)</t>
  </si>
  <si>
    <t>2499</t>
  </si>
  <si>
    <t>قطعة ارض في محافظة الكرك منطقة ام حماط التنظيم سكني د مساحة الأرض 2499</t>
  </si>
  <si>
    <t>AQ-BLD-100702</t>
  </si>
  <si>
    <t>الحسينيه (571)</t>
  </si>
  <si>
    <t xml:space="preserve">منزل مستقل مكون من طابق واحد - مساحة الأرض 231 م2 ومساحة البناء الاجمالية 176 م2 في محافظة الكرك منطقة الحسينية تنظيم سكني د مقابل مسجد الحسينية الكبير_x000D_
</t>
  </si>
  <si>
    <t>AQ-BLD-100694</t>
  </si>
  <si>
    <t>المزرعة (760)</t>
  </si>
  <si>
    <t>الجيش (4)</t>
  </si>
  <si>
    <t>512</t>
  </si>
  <si>
    <t xml:space="preserve">منزل مستقل مكون من طابق واحد - مساحة الأرض 512 م2 ومساحة البناء الاجمالية 110 م2 في محافظة الكرك منطقة الاغوار الجنوبية تنظيم سكني ج بالقرب من مدرسة المزرعة الأساسية_x000D_
</t>
  </si>
  <si>
    <t>AQ-BLD-100150</t>
  </si>
  <si>
    <t>غور الحديثة (761)</t>
  </si>
  <si>
    <t>384</t>
  </si>
  <si>
    <t xml:space="preserve">منزل مستقل مكون من طابق واحد - مساحة الأرض 384 م2 ومساحة البناء الاجمالية 106 م2 في محافظة الكرك منطقة غور الحديثة تنظيم سكني د بالقرب من مدرسة النعام الجديدة_x000D_
</t>
  </si>
  <si>
    <t>AQ-BLD-100670</t>
  </si>
  <si>
    <t>العمريه (577)</t>
  </si>
  <si>
    <t>630</t>
  </si>
  <si>
    <t xml:space="preserve">منزل مستقل مكون من طابق واحد - مساحة الأرض 630 م2 ومساحة البناء الاجمالية 127 م2 في محافظة الكرك منطقة المزار الجنوبي تنظيم سكني ج بالقرب من مثلث الأبيض_x000D_
</t>
  </si>
  <si>
    <t>AQ-BLD-100148</t>
  </si>
  <si>
    <t>محافظة المفرق</t>
  </si>
  <si>
    <t>اراضي المفرق (25)</t>
  </si>
  <si>
    <t>المفرق (423)</t>
  </si>
  <si>
    <t>البلد (7)</t>
  </si>
  <si>
    <t>البادية الشمالية الغربية</t>
  </si>
  <si>
    <t>312</t>
  </si>
  <si>
    <t xml:space="preserve">عقار تجاري مكون من 6 طوابق مقام على ارض مساحتها 312 م2 في محافظة المفرق - حي المختلط تنظيم تجاري طولي ضمن سكن ج وعبارة عن مخازن تجارية عدد 6 إضافة الى 11 شقة في الطوابق من الأول للرابع بمساحات مختلفة ويقع مقابل مدرسة وكالة الغوث من الجهة الغربية_x000D_
</t>
  </si>
  <si>
    <t>AQ-BLD-101084</t>
  </si>
  <si>
    <t>البويضة (428)</t>
  </si>
  <si>
    <t>الغويرية (30)</t>
  </si>
  <si>
    <t>ارحاب</t>
  </si>
  <si>
    <t>836</t>
  </si>
  <si>
    <t xml:space="preserve">عقار سكني في محافظة المفرق منطقة ارحاب التنظيم سكني ب مساحة الأرض 836 مساحة البناء الاجمالية 75 م2_x000D_
</t>
  </si>
  <si>
    <t>AQ-BLD-100435</t>
  </si>
  <si>
    <t>اراضي البادية الشمالية (26)</t>
  </si>
  <si>
    <t>ام الجمال (444)</t>
  </si>
  <si>
    <t>الخربه (2)</t>
  </si>
  <si>
    <t>أم الجمال</t>
  </si>
  <si>
    <t>1485.74</t>
  </si>
  <si>
    <t>"عقار سكني في المفرق - ام الجمال تنظيمه سكن د_x000D_
مساحة الأرض 1485.74 م2 ومساحة العقار الاجمالية 115 م2 _x000D_
مؤلف من طابق واحد مساحة 115 م2_x000D_
_x000D_
المفرق - قرب  بلدية ام الجمال بحوالي 200 م وشمال غرب الاثار"</t>
  </si>
  <si>
    <t>AQ-BLD-100506</t>
  </si>
  <si>
    <t>حوشا (457)</t>
  </si>
  <si>
    <t>بلد الحمراء (3)</t>
  </si>
  <si>
    <t>الحمراء</t>
  </si>
  <si>
    <t>822.170</t>
  </si>
  <si>
    <t>"عقار سكني في المفرق - حوشا تنظيمه سكن ب_x000D_
مساحة الأرض 822 م2 ومساحة العقار الاجمالية 230 م2 _x000D_
مؤلف من طابقين ( أرضي + اول )_x000D_
مساحة كل طابق 115 متر_x000D_
_x000D_
العقار محاط بأسوار خارجية من الدكة والطوب ويوجد اعمال واشجار خارجية_x000D_
_x000D_
المفرق - الحمرا - شرق مدرسة الحمرا الثانوية للبنين"</t>
  </si>
  <si>
    <t>AQ-BLD-100819</t>
  </si>
  <si>
    <t>الدفيانه (436)</t>
  </si>
  <si>
    <t>واسط (1)</t>
  </si>
  <si>
    <t>الدفيانة</t>
  </si>
  <si>
    <t>690</t>
  </si>
  <si>
    <t xml:space="preserve">عقار سكني في محافظة المفرق منطقة الدفيانة التنظيم سكني د مساحة الأرض 690 مساحة البناء الاجمالية 195 م2_x000D_
</t>
  </si>
  <si>
    <t>AQ-BLD-100664</t>
  </si>
  <si>
    <t>الخالدية (432)</t>
  </si>
  <si>
    <t>المشرفه (7)</t>
  </si>
  <si>
    <t>الخالدية</t>
  </si>
  <si>
    <t>500.24</t>
  </si>
  <si>
    <t>"عقار سكني في المفرق - الخالدية تنظيمه سكن ج_x000D_
مساحة الأرض 500.24 م2 ومساحة العقار الاجمالية 300 م2 _x000D_
مؤلف من 3 طوابق ( أرضي + اول + ثاني )_x000D_
مساحة كل طابق 100 متر_x000D_
_x000D_
المفرق - الخالدية قرب مركز الملك عبدالله الثاني للتصميم و التطوير"</t>
  </si>
  <si>
    <t>AQ-BLD-100523</t>
  </si>
  <si>
    <t>الجيعه الشمالي (5)</t>
  </si>
  <si>
    <t>338.000</t>
  </si>
  <si>
    <t>"عقار سكني في المفرق - تنظيمه سكن د_x000D_
مساحة الأرض 338 م2 ومساحة العقار الاجمالية 390 م2 _x000D_
مؤلف من 3 طوابق ( أرضي + اول + ثاني )_x000D_
مساحة كل طابق 130 متر_x000D_
_x000D_
المفرق - الحي الشمالي - جنوب غرب مسجد التوبة"</t>
  </si>
  <si>
    <t>AQ-BLD-100055</t>
  </si>
  <si>
    <t>الباعج (426)</t>
  </si>
  <si>
    <t>الردم (2)</t>
  </si>
  <si>
    <t>الباعج</t>
  </si>
  <si>
    <t>3000</t>
  </si>
  <si>
    <t>"عقار سكني في المفرق - الباعج تنظيمه سكن ج_x000D_
مساحة الأرض 3000 م2 ومساحة العقار الاجمالية 400 م2 _x000D_
مؤلف من طابقين ( أرضي + اول )_x000D_
مساحة كل طابق 200 متر_x000D_
_x000D_
المفرق - بلدة الباعج - شارع ام السرب - بالقرب من مسجد الكوثر"</t>
  </si>
  <si>
    <t>AQ-BLD-100601</t>
  </si>
  <si>
    <t>عين و المعمرية (477)</t>
  </si>
  <si>
    <t>الاقرع (11)</t>
  </si>
  <si>
    <t>عين والمعمرية</t>
  </si>
  <si>
    <t>9679</t>
  </si>
  <si>
    <t>"عقار سكني في المفرق - عين والمعمرية زراعي خارج التنظيم_x000D_
مساحة الأرض 9679 م2 ومساحة العقار الاجمالية 699 م2 _x000D_
مؤلف من 3 طوابق ( أرضي + اول + ثاني )_x000D_
كل طابق عبارة عن شقة_x000D_
_x000D_
المفرق -  عين والمعمرية"</t>
  </si>
  <si>
    <t>AQ-BLD-101079</t>
  </si>
  <si>
    <t>الزنية (438)</t>
  </si>
  <si>
    <t>الصنع (8)</t>
  </si>
  <si>
    <t>الزنية</t>
  </si>
  <si>
    <t>6283.970</t>
  </si>
  <si>
    <t xml:space="preserve">عقار سكني في محافظة المفرق منطقة الزنية التنظيم سكني أ مساحة الأرض 6283.970 مساحة البناء الاجمالية 590 م2_x000D_
</t>
  </si>
  <si>
    <t>AQ-LND-101069</t>
  </si>
  <si>
    <t>بلد عين (10)</t>
  </si>
  <si>
    <t>1099.25</t>
  </si>
  <si>
    <t>قطعة ارض ضمن حدود بلدية رحاب الجديدة و خارج التنظيم وخالية من الابنية والانشاءات وتصلح للبناء والزراعة</t>
  </si>
  <si>
    <t>AQ-LND-100196</t>
  </si>
  <si>
    <t>اخو مريم (5)</t>
  </si>
  <si>
    <t>620.740</t>
  </si>
  <si>
    <t xml:space="preserve">محافظة المفرق - اراضي المفرق - قرية عين و المعمرية المفرق - حوض أخو مريم 5 - مساحتها - 620.74 م2 منتظمة الشكل تنظيم سكن خاص وواقعة على شارعين_x000D_
</t>
  </si>
  <si>
    <t>AQ-LND-101017</t>
  </si>
  <si>
    <t>مغير السرحان (482)</t>
  </si>
  <si>
    <t>العاصم الجنوبي (6)</t>
  </si>
  <si>
    <t>مغير السرحان</t>
  </si>
  <si>
    <t>1220.440</t>
  </si>
  <si>
    <t xml:space="preserve">قطعة ارض في محافظة المفرق منطقة مغير السرحان التنظيم سكني مساحة الأرض 1220.440 م2_x000D_
</t>
  </si>
  <si>
    <t>AQ-LND-101014</t>
  </si>
  <si>
    <t>الحباب  الجنوبي (5)</t>
  </si>
  <si>
    <t>1976</t>
  </si>
  <si>
    <t>قطعة ارض في محافظة المفرق منطقة مغير السرحان التنظيم سكني مساحة الأرض 1976 م2</t>
  </si>
  <si>
    <t>AQ-LND-101015</t>
  </si>
  <si>
    <t>2160</t>
  </si>
  <si>
    <t xml:space="preserve">قطعة ارض في محافظة المفرق منطقة مغير السرحان التنظيم سكني مساحة الأرض 2160 م2_x000D_
</t>
  </si>
  <si>
    <t>AQ-LND-101066</t>
  </si>
  <si>
    <t>بلعما (452)</t>
  </si>
  <si>
    <t>الشريفية (12)</t>
  </si>
  <si>
    <t>بلعما</t>
  </si>
  <si>
    <t>11000</t>
  </si>
  <si>
    <t>قطعة ارض تقع على شارع عرض 10 متر و خارج التنظيم وخالية من الأبنية والانشاءات</t>
  </si>
  <si>
    <t>AQ-LND-101016</t>
  </si>
  <si>
    <t>4751</t>
  </si>
  <si>
    <t xml:space="preserve">قطعة ارض في محافظة المفرق منطقة مغير السرحان التنظيم سكني مساحة الأرض 4751 م2_x000D_
</t>
  </si>
  <si>
    <t>AQ-LND-100458</t>
  </si>
  <si>
    <t>المفرق الجنوبي (4)</t>
  </si>
  <si>
    <t>ضاحية الجامعة</t>
  </si>
  <si>
    <t>1364.640</t>
  </si>
  <si>
    <t>محافظة المفرق - اراضي المفرق - قرية المفرق - لوحة 27 المفرق - حوض المفرق الجنوبي 4 - مساحتها - 1,364.64 م2 القطعة منتظمة الشكل واقعة على شارع و منظمة سكن ج ومخدومة بكافة الخدمات</t>
  </si>
  <si>
    <t>AQ-LND-101068</t>
  </si>
  <si>
    <t>بلد اشوحة (13)</t>
  </si>
  <si>
    <t>11046.56</t>
  </si>
  <si>
    <t>AQ-LND-101067</t>
  </si>
  <si>
    <t>النماره الشمالي (15)</t>
  </si>
  <si>
    <t>24135</t>
  </si>
  <si>
    <t>AQ-BLD-100106</t>
  </si>
  <si>
    <t>حيان المشرف (459)</t>
  </si>
  <si>
    <t>902.810</t>
  </si>
  <si>
    <t xml:space="preserve">منزل مستقل مكون من طابق واحد - مساحة الأرض 903 م2 ومساحة البناء الاجمالية 140 م2 في محافظة المفرق منطقة ايدون بني حسن تنظيم سكني ج </t>
  </si>
  <si>
    <t>AQ-RE-100373</t>
  </si>
  <si>
    <t>محافظة جرش</t>
  </si>
  <si>
    <t>اراضي جرش (11)</t>
  </si>
  <si>
    <t>جرش (234)</t>
  </si>
  <si>
    <t>بين وادي الدير والمجر (2)</t>
  </si>
  <si>
    <t xml:space="preserve">شقة طابق ثالث مساحة 128 م2 في محافظة جرش منطقة جبل الشيخ مصلح تنظيم سكني ج_x000D_
</t>
  </si>
  <si>
    <t>AQ-BLD-100163</t>
  </si>
  <si>
    <t>باب عمان (9)</t>
  </si>
  <si>
    <t>2571</t>
  </si>
  <si>
    <t xml:space="preserve">عقار تجاري مكون من بنائين مساحتهما الاجمالية 877 م2 مقامة على ارض مساحتها 2571 م2 في محافظة جرش تنظيم سكن ب والبناء الأول عبارة عن مخازن مؤجرة للمؤسسة الاستهلاكية المدنية تجارية والبناء الثاني مستخدم كمحطة غسيل سيارات_x000D_
</t>
  </si>
  <si>
    <t>AQ-BLD-100320</t>
  </si>
  <si>
    <t>قفقفا (254)</t>
  </si>
  <si>
    <t>اسبيره الشمالية (5)</t>
  </si>
  <si>
    <t>قفقفا</t>
  </si>
  <si>
    <t>1604</t>
  </si>
  <si>
    <t xml:space="preserve">عقار سكني في محافظة جرش منطقة قفقفا التنظيم خارج التنظيم ملك مساحة الأرض 1604 مساحة البناء الاجمالية 464 م2_x000D_
</t>
  </si>
  <si>
    <t>AQ-BLD-100867</t>
  </si>
  <si>
    <t>650</t>
  </si>
  <si>
    <t>عقار سكني يقع في محافظة جرش منطقة بين وادي الدير والمجر التنظيم السكني ج مساحة القطعة 650 م2</t>
  </si>
  <si>
    <t>AQ-BLD-101090</t>
  </si>
  <si>
    <t>ابو الحجل (10)</t>
  </si>
  <si>
    <t>730.650</t>
  </si>
  <si>
    <t>عقار سكني في جرش مكون من 4 طوابق (تسويتين وارضي واول) مقام على قطعة ارض مساحتها 731 م2 ومساحة البناء الاجمالية 1330 م2</t>
  </si>
  <si>
    <t>AQ-LND-100276</t>
  </si>
  <si>
    <t>الخضرا الفوقا (7)</t>
  </si>
  <si>
    <t>1904</t>
  </si>
  <si>
    <t xml:space="preserve">محافظة جرش - اراضي جرش - قرية جرش - حوض الخضرا الفوقا 7 - مساحتها - 1,904 م2 لوحة 12 منظمة سكن ب ومستوية وواقعة على شارعين_x000D_
</t>
  </si>
  <si>
    <t>AQ-BLD-100730</t>
  </si>
  <si>
    <t>محافظة عجلون</t>
  </si>
  <si>
    <t>اراضي عجلون (10)</t>
  </si>
  <si>
    <t>عين جنا (228)</t>
  </si>
  <si>
    <t>النزاز (31)</t>
  </si>
  <si>
    <t>عين جنا</t>
  </si>
  <si>
    <t>2711</t>
  </si>
  <si>
    <t>عقار سكني في محافظة عجلون منطقة عين جنا التنظيم تجاري محلي سكن د مساحة الأرض 2711 مساحة البناء الاجمالية 1060 م2</t>
  </si>
  <si>
    <t>AQ-LND-100222</t>
  </si>
  <si>
    <t>الهاشمية (215)</t>
  </si>
  <si>
    <t>العرش (3)</t>
  </si>
  <si>
    <t>5945.910</t>
  </si>
  <si>
    <t xml:space="preserve">محافظة عجلون - أراضي عجلون - قرية الهاشمية - لوحة رقم 15_x000D_
_x000D_
مساحة الأرض: 5,946 م2_x000D_
التنظيم: سكن ريفي_x000D_
بيانات إضافية: قطعة ارض تنظيمها سكن ريفي تقع ضمن حدود وتنظيم بلدية الشفا - وهي غير منتظمة الشكل وصالحة للزراعة ومحاطة بالأبنية السكنية من كافة الجهات_x000D_
الموقع: محافظة عجلون - شمال مسجد المهاجرين </t>
  </si>
  <si>
    <t>AQ-RE-101075</t>
  </si>
  <si>
    <t>محافظة مادبا</t>
  </si>
  <si>
    <t>اراضي مادبا (3)</t>
  </si>
  <si>
    <t>الفيحاء (75)</t>
  </si>
  <si>
    <t>الجازل (1)</t>
  </si>
  <si>
    <t>الفيحاء</t>
  </si>
  <si>
    <t>95</t>
  </si>
  <si>
    <t xml:space="preserve">شقة طابق اول في محافظة مادبا منطقة الفيحاء التنظيم سكني تطوير حضري بمساحة 95 م2_x000D_
</t>
  </si>
  <si>
    <t>AQ-RE-100534</t>
  </si>
  <si>
    <t>الخطابية (70)</t>
  </si>
  <si>
    <t>حنو محفوظ (5)</t>
  </si>
  <si>
    <t>وسط مادبا</t>
  </si>
  <si>
    <t xml:space="preserve">شقة طابق ثالث مساحة 149 م2 في محافظة مادبا منطقة وسط مادبا تنظيم سكني ج_x000D_
</t>
  </si>
  <si>
    <t>AQ-BLD-100548</t>
  </si>
  <si>
    <t>مادبا (68)</t>
  </si>
  <si>
    <t>مقاسم مادبا الشمالي (19)</t>
  </si>
  <si>
    <t>855</t>
  </si>
  <si>
    <t>"عقار سكني في مادبا -تنظيمه سكن ج_x000D_
مساحة الأرض 855 م2 ومساحة العقار الاجمالية 523 م2 _x000D_
مؤلف من طابقين ( تسوية + أرضي  )_x000D_
يوجد مساحة صغيرة مستغلة كبقالة_x000D_
_x000D_
مادبا - حي الكرامة - قرب مسجد علي بن اب طالب"</t>
  </si>
  <si>
    <t>AQ-LND-100584</t>
  </si>
  <si>
    <t>اراضي ذيبان (17)</t>
  </si>
  <si>
    <t>ذيبان (94)</t>
  </si>
  <si>
    <t>تلعة البقرة الغربي (7)</t>
  </si>
  <si>
    <t>ذيبان</t>
  </si>
  <si>
    <t>قطعة ارض خالية من الابنية والانشاءات مساحتها - 771 م2 تنظيم سكن ج على شارع معبد ومتوفرة جميع الخدمات_x000D_
الموقع: ذيبان - مقابل مسجد الرحمن - قرب روضة كوكبة زهرة الطفولة - دوار ذيبان</t>
  </si>
  <si>
    <t>AQ-LND-100587</t>
  </si>
  <si>
    <t>الذهيبه (72)</t>
  </si>
  <si>
    <t>الذهيبة الوسطى (4)</t>
  </si>
  <si>
    <t>67551</t>
  </si>
  <si>
    <t>مزرعة بمساحة 67551 م2 في محافظة مادبا منطقة ذيبان قرية الذهيبة خارج التنظيم زراعي ومزروعة باشجار الزيتون والأشجار الحرجية وبعض الاشجار المثمرة_x000D_
مقام على قطعة الارض بناء من طابقين مساحتهم الاجمالية 405 م2 _x000D_
ذيبان - غرب تل ذيبان الاثري</t>
  </si>
  <si>
    <t>AQ-BLD-100094</t>
  </si>
  <si>
    <t>جرينه (87)</t>
  </si>
  <si>
    <t>جرينه الغربي (4)</t>
  </si>
  <si>
    <t>جرينة</t>
  </si>
  <si>
    <t>799.350</t>
  </si>
  <si>
    <t xml:space="preserve">منزل مستقل مكون من طابق واحد - مساحة الأرض 799 م2 ومساحة البناء الاجمالية 165 م2 في محافظة مادبا منطقة حي القادسية تنظيم سكن شعبي بالقرب من مدرسة جرينة الأساسية_x000D_
</t>
  </si>
  <si>
    <t>AQ-LND-100658</t>
  </si>
  <si>
    <t>محافظة معان</t>
  </si>
  <si>
    <t>اراضي معان (33)</t>
  </si>
  <si>
    <t>الشراه الجنوبية (624)</t>
  </si>
  <si>
    <t>خردبه (34)</t>
  </si>
  <si>
    <t>326.666</t>
  </si>
  <si>
    <t>محافظة معان - أراضي معان - قرية الشراه الجنوبية_x000D_
_x000D_
عدد 60 حصة من اصل 720 حصة من قطعة ارض من نوع ميري مساحتها الاجمالية 3920 م2 وتبلغ الحصص ما يقارب 327 م2 وهي خارج التنظيم ومخدومة بالكهرباء والمياه تقع على طريق العقبة الرئيسي ضمن مشروع القاسمية (مزارع التفاح) وتنخفض عن مستوى الطريق وجزء منها مزروع بأشجار التفاح ومحاطة بالشجر الحرجي من الامام</t>
  </si>
  <si>
    <t>Data_1</t>
  </si>
  <si>
    <t>REF_NO</t>
  </si>
  <si>
    <t>REQUESTED_DATE</t>
  </si>
  <si>
    <t>CREATOR_USERNAME</t>
  </si>
  <si>
    <t>PROPERTY_TYPE</t>
  </si>
  <si>
    <t>AREA_NAME</t>
  </si>
  <si>
    <t>PROPERTY_DESC</t>
  </si>
  <si>
    <t>PROPERTY_CATEGORY</t>
  </si>
  <si>
    <t>GOVERNORATE</t>
  </si>
  <si>
    <t>REGISTRATION_AUTHORITY</t>
  </si>
  <si>
    <t>VILLAGE_NO_NAME</t>
  </si>
  <si>
    <t>BASIN_NO_NAME</t>
  </si>
  <si>
    <t>APARTMENT_NO</t>
  </si>
  <si>
    <t>PLOT_NO</t>
  </si>
  <si>
    <t>TOTAL_VALUE</t>
  </si>
  <si>
    <t>LATITUDE</t>
  </si>
  <si>
    <t>LONGITUDE</t>
  </si>
  <si>
    <t>BUILDING_AREA</t>
  </si>
  <si>
    <t>TOUR_LINK</t>
  </si>
  <si>
    <t>HAS_VIDEO</t>
  </si>
  <si>
    <t>HAS_IMAGE</t>
  </si>
  <si>
    <t>GOOGLE_MAP_ADDRESS</t>
  </si>
  <si>
    <t>FLOOR_NO</t>
  </si>
  <si>
    <t>MARKETING_MESSAGE</t>
  </si>
  <si>
    <t>VIDEO_LINK</t>
  </si>
  <si>
    <t>VIDEO_EQ</t>
  </si>
  <si>
    <t>TOUR_EQ</t>
  </si>
  <si>
    <t>LOC_EQ</t>
  </si>
  <si>
    <t xml:space="preserve">طابق تسوية مخزن جنوبي وسط عدا السطح </t>
  </si>
  <si>
    <t>لا</t>
  </si>
  <si>
    <t>https://maps.app.goo.gl/TiVucRGg5RVLEjAY7</t>
  </si>
  <si>
    <t>طابق التسوية مخزن شمالي وسط عدا السطح</t>
  </si>
  <si>
    <t>https://maps.app.goo.gl/utZa7pbDNC5BNjBR8</t>
  </si>
  <si>
    <t xml:space="preserve">طابق ارضي مخزن غربي عدا السطح </t>
  </si>
  <si>
    <t>https://maps.app.goo.gl/6VeK1soQc9FANyGr5</t>
  </si>
  <si>
    <t xml:space="preserve">طابق التسوية مخزن شمالي وسط عدا السطح </t>
  </si>
  <si>
    <t>https://maps.app.goo.gl/RYd23MtaG2mUYFnd7</t>
  </si>
  <si>
    <t xml:space="preserve">طابق تسوية مخزن شمالي وسط عدا السطح </t>
  </si>
  <si>
    <t>https://maps.app.goo.gl/8szHmw75q7cGjeJ57</t>
  </si>
  <si>
    <t xml:space="preserve">طابق تسوية مخزن شمالي غربي عدا السطح </t>
  </si>
  <si>
    <t>https://maps.app.goo.gl/krbj2GhMvuWbUamp8</t>
  </si>
  <si>
    <t xml:space="preserve">طابق ارضي مخزن جنوبي غربي عدا سطح </t>
  </si>
  <si>
    <t>https://maps.app.goo.gl/pifTYeCxr41ZPNEo6</t>
  </si>
  <si>
    <t xml:space="preserve">سطح الطابق الثاني مقام على جزء منه بناء عدا حق الاعتلاء على ان يكون سطح البناء الذي سيقام منافع عامة للبناء الكلي_x000D_
</t>
  </si>
  <si>
    <t>https://maps.app.goo.gl/A3XZbfh84v35bWus8</t>
  </si>
  <si>
    <t>الشقة الشرقية من طابق التسوية عدا سطحها</t>
  </si>
  <si>
    <t>https://maps.app.goo.gl/9pCAjbaA9ZKNeSdX7</t>
  </si>
  <si>
    <t xml:space="preserve">طابق تسوية عدا سطحه_x000D_
</t>
  </si>
  <si>
    <t>https://maps.app.goo.gl/kNwMxKFC2vofNDEx9</t>
  </si>
  <si>
    <t xml:space="preserve">بناية جنوبية سطح الطابق الأرضي مقام على جزء منه طابق اول (حق الاعتلاء الى شمسية موسى عبدالقادر علاونة)_x000D_
</t>
  </si>
  <si>
    <t>الشقة رقم رقم 682/122 حوض الضمري 4 من اراضي اربد</t>
  </si>
  <si>
    <t xml:space="preserve">الشقة الجنوبية من الطابق الثاني مع السطح </t>
  </si>
  <si>
    <t xml:space="preserve">طابق التسوية شقة الجنوبية عدا سطحها </t>
  </si>
  <si>
    <t>https://maps.app.goo.gl/4ZeUixs6SEXRqnyr8</t>
  </si>
  <si>
    <t xml:space="preserve">طابق ارضي عدا السطح_x000D_
</t>
  </si>
  <si>
    <t>https://maps.app.goo.gl/sUZZ3HjBRZcis2or5</t>
  </si>
  <si>
    <t xml:space="preserve"> طابق اول عدا سطحه_x000D_
</t>
  </si>
  <si>
    <t>https://maps.app.goo.gl/mCqyP1zsBZKWR2FD9</t>
  </si>
  <si>
    <t xml:space="preserve">الشقة الشمالية من الطابق الاول عدا سطحها </t>
  </si>
  <si>
    <t xml:space="preserve">طابق ثاني عدا سطحه_x000D_
</t>
  </si>
  <si>
    <t>https://maps.app.goo.gl/fZNY8kEBaL8shcWo6</t>
  </si>
  <si>
    <t xml:space="preserve">"مساحة الشقة : 122 م2_x000D_
الشقة في الطابق الاول_x000D_
"_x000D_
</t>
  </si>
  <si>
    <t>https://maps.app.goo.gl/Ynh1ckaYSg13YR5B6</t>
  </si>
  <si>
    <t>الشقة الشمالية الغربية طابق ارضي عدا السطج "_x000D_
مساحة الشقة : 158 م2_x000D_
الشقة تقع في الطابق الأرضي"</t>
  </si>
  <si>
    <t>https://maps.app.goo.gl/5WPQMJjorRyZDxdY6</t>
  </si>
  <si>
    <t xml:space="preserve">طابق الأول عدا السطح شقة شمالية </t>
  </si>
  <si>
    <t xml:space="preserve">طابق اول مع حق الاعتلاء </t>
  </si>
  <si>
    <t>https://maps.app.goo.gl/nxs148FYHskVkgr49</t>
  </si>
  <si>
    <t xml:space="preserve">الشقة من طابق الثالث عدا سطحه </t>
  </si>
  <si>
    <t xml:space="preserve">طابق ارضي شقة شمالية عدا السطح </t>
  </si>
  <si>
    <t xml:space="preserve">الشقة الشمالية من الطابق الثاني مع السطح </t>
  </si>
  <si>
    <t>https://maps.app.goo.gl/ivM51wLEkSgrXEZZ8</t>
  </si>
  <si>
    <t>"مساحة الشقة : 125 م2_x000D_
الشقة تقع في الطابق الثاني (عدا حق الاعتلاء)"</t>
  </si>
  <si>
    <t>https://maps.app.goo.gl/8CfoQbUqLcogbtar5</t>
  </si>
  <si>
    <t>"مساحة الشقة : 86 م2_x000D_
الشقة تقع في الطابق الثالث</t>
  </si>
  <si>
    <t>https://maps.app.goo.gl/XxBa8rnSbA42apRNA</t>
  </si>
  <si>
    <t xml:space="preserve">طابق تسوية الأول عدا سطحه شقة غربية </t>
  </si>
  <si>
    <t xml:space="preserve">طابق ثالث عدا سطحه شقة وسطى_x000D_
</t>
  </si>
  <si>
    <t>https://maps.app.goo.gl/L5sfg8uGv3JRWrX9A</t>
  </si>
  <si>
    <t xml:space="preserve">الطابق الثالث عدا سطحه شقة غربية والسطح خدمات_x000D_
</t>
  </si>
  <si>
    <t>https://truemarkets3d.net/3d-virtual-tour/housingbank-realestate/phase3/aq-re-100669/index.html</t>
  </si>
  <si>
    <t>نعم</t>
  </si>
  <si>
    <t>https://maps.app.goo.gl/VpigZNcwwamvb6Sx5</t>
  </si>
  <si>
    <t>https://youtu.be/opZG8EsqJq4</t>
  </si>
  <si>
    <t xml:space="preserve">طابق ثالث بناية جنوبية عدا سطحه شقة شمالية والسطح خدمات مشتركة </t>
  </si>
  <si>
    <t>https://maps.app.goo.gl/SB8wU69enw42vbf58</t>
  </si>
  <si>
    <t xml:space="preserve">طابق ارضي شقة غربية بنايه وسطى عدا سطحها </t>
  </si>
  <si>
    <t>الشقة الجنوبية من الطابق الأرضي عدا سطحه</t>
  </si>
  <si>
    <t>https://maps.app.goo.gl/MgPEvYNVbhj5CJcv5</t>
  </si>
  <si>
    <t xml:space="preserve">طابق اول عدا سطحه_x000D_
</t>
  </si>
  <si>
    <t xml:space="preserve">طابق تسوية شقة جنوبية عدا سطحه </t>
  </si>
  <si>
    <t>https://truemarkets3d.net/3d-virtual-tour/housingbank-realestate/phase3/aq-re-100107/index.html</t>
  </si>
  <si>
    <t>https://maps.app.goo.gl/UCxzHEFFf2i1wE8n7</t>
  </si>
  <si>
    <t xml:space="preserve">طابق تسوية عدا سطحة شقة شمالية _x000D_
</t>
  </si>
  <si>
    <t xml:space="preserve">الشقة الجنوبية الغربية من طابق الثالث عدا سطحها والسطح خدمات مشتركة_x000D_
</t>
  </si>
  <si>
    <t>https://maps.app.goo.gl/CywpcXF2vXUGb5jy8</t>
  </si>
  <si>
    <t xml:space="preserve">الشقة الجنوبية طابق الاول بناية جنوبية الشقة ضمن البناء الجنوبي له واجهتين من الحجر </t>
  </si>
  <si>
    <t>https://maps.app.goo.gl/PqnSnwt8DfiB5KAq9</t>
  </si>
  <si>
    <t>سطح الطابق الثالث شقة شرقيه</t>
  </si>
  <si>
    <t>https://maps.app.goo.gl/4Un7d65BjFH1Tevo6</t>
  </si>
  <si>
    <t>"_x000D_
مساحة الشقة : 161 م2_x000D_
الشقة تقع في الطابق الثالث"</t>
  </si>
  <si>
    <t>https://maps.app.goo.gl/TPrXW1EDVQ2waGSw8</t>
  </si>
  <si>
    <t xml:space="preserve">قطعة ارض مقام عليها بناء مكون من بناء سكني من الامده والطوب المقصور مؤلف من طابقين تسوية عظم 25م2 وطابق ارضي 177م2 </t>
  </si>
  <si>
    <t>https://maps.app.goo.gl/dGHq4epphoU5ULie9</t>
  </si>
  <si>
    <t xml:space="preserve">طابق ثاني وثالث عدا سطحه بناء شرقي الثاني 111م وقيمته 2775 دينار وثالث 92م وقيمته 2300 دينار يتبع لع تراس 19م وقيمته 190 دينار والسطح خدمات مشتركة_x000D_
</t>
  </si>
  <si>
    <t xml:space="preserve">"مساحة الشقة : 163 م2_x000D_
الشقة في الطابق الثاني_x000D_
"_x000D_
</t>
  </si>
  <si>
    <t>https://maps.app.goo.gl/36qMcFscNxQ49Z9y9</t>
  </si>
  <si>
    <t>الطابق الثاني عدا سطحه شقة شرقية مساحتها 150م2.</t>
  </si>
  <si>
    <t>https://maps.app.goo.gl/v8QHAXyBeqSDBGHJ9</t>
  </si>
  <si>
    <t>"مساحة الشقة : 158 م2_x000D_
الشقة في الطابق الثالث (الشرقية)</t>
  </si>
  <si>
    <t>https://truemarkets3d.net/3d-virtual-tour/housingbank-realestate/phase3/aq-re-100296/index.html</t>
  </si>
  <si>
    <t>https://maps.app.goo.gl/QtRiHXsHnoZrmjbS7</t>
  </si>
  <si>
    <t>الشقة رقم 212 قطعة الارض رقم 257 من اراضي اربد وهي الشقة الشمالية من الطابق الاول عدا سطحها</t>
  </si>
  <si>
    <t>https://maps.app.goo.gl/uaa27MgRyaTBNXWC6</t>
  </si>
  <si>
    <t xml:space="preserve">الشقة الشمالية من الطابق الثالث عدا سطحها </t>
  </si>
  <si>
    <t>https://maps.app.goo.gl/GAujN5Ln8H6SXLUK6</t>
  </si>
  <si>
    <t>طابق ثالث شقة شمالية عدا سطحها والسطح خدمات مشتركة</t>
  </si>
  <si>
    <t>https://maps.app.goo.gl/f5s35FVrWbP37fTZ6</t>
  </si>
  <si>
    <t xml:space="preserve">طابق ثالث عدا السطح شقة شرقية وسطح الطابق الثالث خدمات مشتركة_x000D_
</t>
  </si>
  <si>
    <t>https://maps.app.goo.gl/vHFYZFYjc8xbosCz7</t>
  </si>
  <si>
    <t>الطابق الأرضي - شقة شرقية بناية جنوبية - اربد</t>
  </si>
  <si>
    <t>https://truemarkets3d.net/3d-virtual-tour/housingbank-realestate/phase3/aq-re-100295/index.html</t>
  </si>
  <si>
    <t xml:space="preserve">طابق ثالث عدا سطحه شقة جنوبية والسطح منافع مشتركة_x000D_
</t>
  </si>
  <si>
    <t>https://truemarkets3d.net/3d-virtual-tour/housingbank-realestate/phase3/aq-re-100661/index.html</t>
  </si>
  <si>
    <t>https://maps.app.goo.gl/pGAVMdEPoCjS4GaAA</t>
  </si>
  <si>
    <t>https://youtu.be/beTr7DsGWVw</t>
  </si>
  <si>
    <t xml:space="preserve">الشقة رقم سطح الطابق الارضي عدا حق الاعتلاء للبائع زكي شقة شمالية الشقة ضمن بناء له ثلاثة واجهات من الحجر مؤلف من طابقين الشقة مشغوله من قبل المالك السابق </t>
  </si>
  <si>
    <t>https://maps.app.goo.gl/pHxLANYNf5vhEM3m9</t>
  </si>
  <si>
    <t>مساحة الشقة : 193 م2_x000D_
الشقة في الطابق الأرضي</t>
  </si>
  <si>
    <t>https://maps.app.goo.gl/2GDfBetfSssmAttz7</t>
  </si>
  <si>
    <t xml:space="preserve">الشقة الجنوبية الغربية من الطابق الارضي والاول عدا سطح دوبلكس كل طابق 135م2 </t>
  </si>
  <si>
    <t>https://truemarkets3d.net/3d-virtual-tour/housingbank-realestate/phase3/aq-re-100859/index.html</t>
  </si>
  <si>
    <t>https://maps.app.goo.gl/zSEA5XpME1wWKdWV7</t>
  </si>
  <si>
    <t>https://youtu.be/D8Y4KRclEZE</t>
  </si>
  <si>
    <t xml:space="preserve">"مساحة الأرض: 335 م2_x000D_
مساحة العقار الاجمالية : 618 م2_x000D_
التنظيم: تجاري_x000D_
عدد الطوابق :2 طوابق (أرضي + اول)"_x000D_
</t>
  </si>
  <si>
    <t>https://maps.app.goo.gl/8Ujsip4rf9woKEHE7</t>
  </si>
  <si>
    <t xml:space="preserve">قطعة الأرض مقام  عليها طابق ارضي 280م2 طابق اول 280م2 طابق ثاني 180م2_x000D_
</t>
  </si>
  <si>
    <t>https://maps.app.goo.gl/VBdXXByHUnzCPgCt9</t>
  </si>
  <si>
    <t>"مساحة الأرض: 987 م2</t>
  </si>
  <si>
    <t>"مساحة الأرض: 521.640 م2_x000D_
مساحة العقار الاجمالية : 90 م2_x000D_
عدد الطوابق : 1_x000D_
التنظيم : سكن ج"</t>
  </si>
  <si>
    <t>https://maps.app.goo.gl/2UhYhAw9hhAgwC5T9</t>
  </si>
  <si>
    <t xml:space="preserve">قطعة ا رض مساحتها 293م2 مقام عليها بناء من الطوب مساحته 138م2 مؤلف من طابق ارضي_x000D_
</t>
  </si>
  <si>
    <t xml:space="preserve">القطعة  بمساحة 492 م2_x000D_
</t>
  </si>
  <si>
    <t>https://maps.app.goo.gl/GhUogGQa5hb9EAU99</t>
  </si>
  <si>
    <t xml:space="preserve">الطابق الاول مع سطحه </t>
  </si>
  <si>
    <t xml:space="preserve">قطعة أرض مساحتها 240 م2 مقام عليها بناء من الطوب والاعمدة مؤلف من طابقين ارضي وأول بمساحة بناء إجمالية 190م2_x000D_
</t>
  </si>
  <si>
    <t>https://maps.app.goo.gl/xfueMc3S6FseMnuQ6</t>
  </si>
  <si>
    <t xml:space="preserve">مساحة 299.94 م2 _x000D_
</t>
  </si>
  <si>
    <t>https://maps.app.goo.gl/yrsuFhMg29HqzpgT8</t>
  </si>
  <si>
    <t>طابق تسوية وارضي مع سطحه بناية شمالية بمساحة 135 م2</t>
  </si>
  <si>
    <t>مساحة القطعة 1.046</t>
  </si>
  <si>
    <t xml:space="preserve">قطعة ارض مثلثة غير منتظمة ومقام عليها بناء قديم من الاعمدة والطوب مؤلف من طابق تسوية وطابق ارضي وجزء من طابق اول_x000D_
</t>
  </si>
  <si>
    <t>https://maps.app.goo.gl/rD2UqL6Pq2Rt6Qo18</t>
  </si>
  <si>
    <t>مساحة 835.94 م2</t>
  </si>
  <si>
    <t>https://maps.app.goo.gl/3iiVvKGC3G4U5yro8</t>
  </si>
  <si>
    <t xml:space="preserve">مساحة القطعة 164 م2 </t>
  </si>
  <si>
    <t>https://maps.app.goo.gl/GXBMJhyKyLMJtcxM7</t>
  </si>
  <si>
    <t xml:space="preserve">"مساحة الأرض: 617 م2_x000D_
</t>
  </si>
  <si>
    <t xml:space="preserve">مساحة الارض 214 م2 _x000D_
</t>
  </si>
  <si>
    <t>https://maps.app.goo.gl/AR3euAiFSyfgJSAs9</t>
  </si>
  <si>
    <t xml:space="preserve">بناء سكني مكون من ثلاث طوابق </t>
  </si>
  <si>
    <t>https://maps.app.goo.gl/DtXyaiEjRb94M7aw7</t>
  </si>
  <si>
    <t xml:space="preserve">"مساحة الأرض: 355 م2_x000D_
</t>
  </si>
  <si>
    <t>https://maps.app.goo.gl/LzgdCzGhRyhhgWh18</t>
  </si>
  <si>
    <t xml:space="preserve">مقام على القطعة بناء سكني من الاعمدة والطوب المقصور مؤلف من طابق ارضي بمساحة 140م2 _x000D_
</t>
  </si>
  <si>
    <t>https://maps.app.goo.gl/rWMU2WF1wwsE75ZF8</t>
  </si>
  <si>
    <t xml:space="preserve">مقام على القطعة بنائين شرقي وغربي البناء الغربي من الطوب والاعمدة مؤلف من طابقين تسوية 50م2 وطابق ارضي 200م2 والبناء الشرقي عبارة عن مخزن 60م2_x000D_
</t>
  </si>
  <si>
    <t>https://maps.app.goo.gl/STWRURofdNRi6aNY7</t>
  </si>
  <si>
    <t xml:space="preserve">قطعة بمساحة 464 م2 _x000D_
</t>
  </si>
  <si>
    <t>https://maps.app.goo.gl/nkSWqjCQP3hoZy576</t>
  </si>
  <si>
    <t xml:space="preserve">البناء المقام على القطعة واجهاته من الطوب المقصور ويتكون من أربعة طوابق التسوية 60م2 والارضي 220 م2 والأول 245م2 والثاني 50م2_x000D_
</t>
  </si>
  <si>
    <t>قطعة ارض fمساحة 340 م2</t>
  </si>
  <si>
    <t>https://maps.app.goo.gl/Ajg2cXekAKXmXFrH7</t>
  </si>
  <si>
    <t xml:space="preserve">قطعة أرض مساحتها 1834م2 مقام عليها بنائين أحدهما فيلا و الآخر بناء من طابقين الأرضي مخازن تجارية والأول عبارة عن شقة وصالة </t>
  </si>
  <si>
    <t>https://maps.app.goo.gl/yDfoGpQw5inuowEEA</t>
  </si>
  <si>
    <t xml:space="preserve">"مساحة الأرض: 852 م2_x000D_
</t>
  </si>
  <si>
    <t>https://truemarkets3d.net/3d-virtual-tour/housingbank-realestate/phase3/aq-bld-100175/index.html</t>
  </si>
  <si>
    <t>09.30.2024_14.08.55.jpg, 09.30.2024_14.18.52.jpg, 09.30.2024_14.19.46.jpg, 09.30.2024_14.42.28.jpg, 09.30.2024_15.16.02.jpg, 09.30.2024_15.16.55.jpg, 09.30.2024_15.16.55.jpg, 09.30.2024_15.24.43.jpg</t>
  </si>
  <si>
    <t>https://maps.app.goo.gl/7mzbgBp7QAgt2Bbo8</t>
  </si>
  <si>
    <t xml:space="preserve">فيلا سكنية خاصة تربلكس 4 واجهات من حجر مؤلفه من طوابق عدد 4 تسوية 249م2 ارضي 249م2 طابق اول 214م2 طابق ثاني 85م2 ثالث 60م2 </t>
  </si>
  <si>
    <t>https://maps.app.goo.gl/P22nSAKpY1y173fX9</t>
  </si>
  <si>
    <t>مساحة الارض 12938 م2</t>
  </si>
  <si>
    <t>https://truemarkets3d.net/3d-virtual-tour/housingbank-realestate/phase3/aq-bld-1002151/index.html</t>
  </si>
  <si>
    <t>09.30.2024_11.01.46.jpg, 09.30.2024_11.02.25.jpg, 09.30.2024_11.03.08.jpg, 09.30.2024_11.04.15.jpg, 09.30.2024_11.04.56.jpg, 09.30.2024_11.05.50.jpg, 09.30.2024_11.06.38.jpg, 09.30.2024_13.34.20.jpg, 09.30.2024_13.35.51.jpg, 09.30.2024_13.37.27.jpg</t>
  </si>
  <si>
    <t>https://maps.app.goo.gl/eBPzDJAw2Gem5hgY8</t>
  </si>
  <si>
    <t xml:space="preserve">مساحة الأرض: 417 م2_x000D_
</t>
  </si>
  <si>
    <t>AQ-LND-100109.jpeg</t>
  </si>
  <si>
    <t>https://maps.app.goo.gl/dpR5Bfw38M44h4Xm8</t>
  </si>
  <si>
    <t xml:space="preserve">قطعة ارض سليخ من نوع ملك و مساحنها 903 م2 </t>
  </si>
  <si>
    <t>AQ-LND-100245.jpeg</t>
  </si>
  <si>
    <t>https://maps.app.goo.gl/nUG5J3zE6ENvjhgFA</t>
  </si>
  <si>
    <t>قطعة ارض سليخ بمساحة 1419 م2</t>
  </si>
  <si>
    <t>AQ-LND-100246.jpeg</t>
  </si>
  <si>
    <t>https://maps.app.goo.gl/MCYQqVTiARQ5qSDFA</t>
  </si>
  <si>
    <t>قطعة ارض خالية من الانشاءات</t>
  </si>
  <si>
    <t>https://maps.app.goo.gl/mPQUN4L9nYnxsqxg7</t>
  </si>
  <si>
    <t xml:space="preserve">ارض مساحتها - 5,211 م2 م_x000D_
</t>
  </si>
  <si>
    <t>https://truemarkets3d.net/3d-virtual-tour/housingbank-realestate/phase3/aq-lnd-100227/index.html</t>
  </si>
  <si>
    <t>AQ-LND-100227.jpeg</t>
  </si>
  <si>
    <t>https://maps.app.goo.gl/GTbJz9ECJLSW5v8A7</t>
  </si>
  <si>
    <t xml:space="preserve">ارض مساحتها - 103,453 م2 </t>
  </si>
  <si>
    <t>AQ-LND-100225.jpeg</t>
  </si>
  <si>
    <t>https://maps.app.goo.gl/wFe8mHvW4oBTUnKr7</t>
  </si>
  <si>
    <t>قطعة أرض مساحتها 613.930م2 مقام عليها بناء سكن ريفي مساحته : 124م2_x000D_
التنظيم: سكن ج</t>
  </si>
  <si>
    <t>https://maps.app.goo.gl/qccUBmfQyxV8jbS37</t>
  </si>
  <si>
    <t>قطعة ارض مساحتها 502 م2 غير منتظمة الشكل وشبه مستوية ومقام عليها بناء من الاعمدة والطوب والخرسانة المسلحة ومؤلف من طابقين مساحته 280 م2</t>
  </si>
  <si>
    <t>https://maps.app.goo.gl/jdP9mhJeqY1ZVuzt5</t>
  </si>
  <si>
    <t>مساحة 1774م2"</t>
  </si>
  <si>
    <t>https://maps.app.goo.gl/7LcX3touGJ2D87889</t>
  </si>
  <si>
    <t xml:space="preserve">الشقة الغربية من الطابق الثالث عدا سطحها المعتبر منافع مشتركة_x000D_
</t>
  </si>
  <si>
    <t>https://truemarkets3d.net/3d-virtual-tour/housingbank-realestate/phase3/aq-re-100656/index.html</t>
  </si>
  <si>
    <t>https://maps.app.goo.gl/6RndwJPwZpYGEEyaA</t>
  </si>
  <si>
    <t>https://youtu.be/PfMN3FxLFHg</t>
  </si>
  <si>
    <t xml:space="preserve">الشقة الجنوبية كم طابق التسوية الثانية عدا سطحها_x000D_
</t>
  </si>
  <si>
    <t>https://truemarkets3d.net/3d-virtual-tour/housingbank-realestate/phase3/aq-re-100660/index.html</t>
  </si>
  <si>
    <t>https://maps.app.goo.gl/7L2MvjC9BBSDj8EC7</t>
  </si>
  <si>
    <t>https://youtu.be/xZ0pn7-7ITk</t>
  </si>
  <si>
    <t>الشقة الغربية من طابق التسوية الثانية عدا سطحها</t>
  </si>
  <si>
    <t>https://truemarkets3d.net/3d-virtual-tour/housingbank-realestate/phase3/aq-re-100572/index.html</t>
  </si>
  <si>
    <t>https://maps.app.goo.gl/8T2GeRGwHai9fGQ79</t>
  </si>
  <si>
    <t>https://youtu.be/yv2fVCxQgQk</t>
  </si>
  <si>
    <t>الشقة الشرقية من طابق التسوية الاولى عدا سطحها / السلط حوض البقعان 42 مساحتها 226م</t>
  </si>
  <si>
    <t>https://truemarkets3d.net/3d-virtual-tour/housingbank-realestate/phase3/aq-re-100698/index.html</t>
  </si>
  <si>
    <t>https://maps.app.goo.gl/yvsNowNAet4CtjyT8</t>
  </si>
  <si>
    <t xml:space="preserve">الشقة الغربية الوسطى من الطابق التسوية الثانية عدا سطحها </t>
  </si>
  <si>
    <t>https://truemarkets3d.net/3d-virtual-tour/housingbank-realestate/phase3/aq-re-100105/index.html</t>
  </si>
  <si>
    <t xml:space="preserve">الشقة الغربية من الطابق التسوية الأولى عدا سطحها_x000D_
</t>
  </si>
  <si>
    <t>"مساحة الشقة : 208 م2_x000D_
الشقة في الطابق الأرضي</t>
  </si>
  <si>
    <t>https://truemarkets3d.net/3d-virtual-tour/housingbank-realestate/phase3/aq-re-100012/index.html</t>
  </si>
  <si>
    <t>https://maps.app.goo.gl/Jx9oW4LuchHHL7Gw7</t>
  </si>
  <si>
    <t>المساحة 14.500م2</t>
  </si>
  <si>
    <t>https://maps.app.goo.gl/21hMGwEtcZe6gXuB7</t>
  </si>
  <si>
    <t xml:space="preserve">قطعة ارض  مساحة 2844م2 _x000D_
</t>
  </si>
  <si>
    <t>https://maps.app.goo.gl/ywwSPGuWCw49182z5</t>
  </si>
  <si>
    <t xml:space="preserve">قطعة أرض مساحتها 288 م2 _x000D_
</t>
  </si>
  <si>
    <t>https://maps.app.goo.gl/knbKAjXgj6dbL4LRA</t>
  </si>
  <si>
    <t>قطعة ارض بمساحة 526 م2</t>
  </si>
  <si>
    <t>مساحة القطعة 591 م2</t>
  </si>
  <si>
    <t xml:space="preserve">قطعة  بمساحة 301.910 م2 . </t>
  </si>
  <si>
    <t>https://maps.app.goo.gl/a2JyeiPQoTnDutsu5</t>
  </si>
  <si>
    <t xml:space="preserve">قطعة ارض مبمساحة 854م2  </t>
  </si>
  <si>
    <t>"مساحة الأرض: 11,961.980 م2_x000D_
مساحة العقار الاجمالية : 1000 م2_x000D_
عدد الطوابق : 3 (أرضي + اول + ثاني + رووف)_x000D_
التنظيم: زراعي خارج حدود التنظيم"</t>
  </si>
  <si>
    <t>https://maps.app.goo.gl/Ya9YEaFjkS2haHkf9</t>
  </si>
  <si>
    <t xml:space="preserve">"مساحة الأرض: 2165 م2_x000D_
مساحة العقار الاجمالية : 788 م2_x000D_
عدد الطوابق : 4 (تسوية + أرضي + اول + رووف)"_x000D_
</t>
  </si>
  <si>
    <t>https://www.true-markets.net/media/360tour/housing-bank/413/index.html</t>
  </si>
  <si>
    <t>https://maps.app.goo.gl/TP9Z9iRqcqTAfn4d6</t>
  </si>
  <si>
    <t>قطعة أرض خالية من الإنشاءات</t>
  </si>
  <si>
    <t>https://truemarkets3d.net/3d-virtual-tour/housingbank-realestate/phase3/aq-re-100393/index.html</t>
  </si>
  <si>
    <t>AQ-LND-100203.jpeg, AQ-LND-100203.jpeg</t>
  </si>
  <si>
    <t>https://maps.app.goo.gl/BUJsxtcTZ6v2LhbFA</t>
  </si>
  <si>
    <t xml:space="preserve">قطعة أرض خالية من الإنشاءات </t>
  </si>
  <si>
    <t>AQ-LND-100205.jpeg</t>
  </si>
  <si>
    <t>https://maps.app.goo.gl/PtGf9AVBkxouppTQ6</t>
  </si>
  <si>
    <t>AQ-LND-100206.jpeg</t>
  </si>
  <si>
    <t>https://maps.app.goo.gl/gF16esqLTh2gm6z58</t>
  </si>
  <si>
    <t xml:space="preserve">قطعة ارض مساحتها 1,379.950 م2 تنظيمها سكن ب و منتظمة الشكل_x000D_
</t>
  </si>
  <si>
    <t>AQ-LND-100134.jpeg</t>
  </si>
  <si>
    <t>https://maps.app.goo.gl/kZpH61LGfRkMrLKi6</t>
  </si>
  <si>
    <t xml:space="preserve">"أرض 1200 متر ضمن حدود بلدية العارضة الجديدة - منطقة بيوضة تنظيمها سكن ب ._x000D_
واصلها جميع الخدمات منتظمة الشكل , كاشفة ومطلة مزروعة ببعض أشجار الزيتون"_x000D_
</t>
  </si>
  <si>
    <t>AQ-LND-100494.jpeg</t>
  </si>
  <si>
    <t>https://maps.app.goo.gl/PKzqrQdSNAr7rMaD6</t>
  </si>
  <si>
    <t>AQ-LND-100199.jpeg</t>
  </si>
  <si>
    <t>https://maps.app.goo.gl/ELEPRu9hwMySenZL7</t>
  </si>
  <si>
    <t>"مساحة الأرض : 5250 م2_x000D_
تنظيم الأرض : سكن أ"</t>
  </si>
  <si>
    <t>AQ-LND-100453.jpeg</t>
  </si>
  <si>
    <t>https://maps.app.goo.gl/RndMpfcw8dcJCyQn6</t>
  </si>
  <si>
    <t xml:space="preserve">سطح الطابق الأول_x000D_
</t>
  </si>
  <si>
    <t>https://maps.app.goo.gl/Lr51HveMk3JcArJx8</t>
  </si>
  <si>
    <t xml:space="preserve">لشقة الشمالية الغربية من الطابق الأول عدا سطحها_x000D_
</t>
  </si>
  <si>
    <t>https://maps.app.goo.gl/Q4DrXSo4TcHdgM757</t>
  </si>
  <si>
    <t>مساحة الشقة : 122 م2_x000D_
التنظيم: سكن د</t>
  </si>
  <si>
    <t>https://maps.app.goo.gl/Vofq87D3rfv8wWtp8</t>
  </si>
  <si>
    <t xml:space="preserve">الشقة الشمالية الشرقية من الطابق الأول رقمها 113 بمساحة 91 م2_x000D_
</t>
  </si>
  <si>
    <t>https://maps.app.goo.gl/q8WZkNESRigaBnKe6</t>
  </si>
  <si>
    <t xml:space="preserve">الشقة الشمالية من الطابق الأرضي عدا سطحها_x000D_
</t>
  </si>
  <si>
    <t>https://maps.app.goo.gl/owQLz47UghAyxTwP9</t>
  </si>
  <si>
    <t>الشقة الغربية من الطابق الاول عدا سطحها</t>
  </si>
  <si>
    <t>https://maps.app.goo.gl/h9vkGZTUK3shCgVa7</t>
  </si>
  <si>
    <t xml:space="preserve">الشقة الجنوبية من الطابق الأول عدا سطحها_x000D_
</t>
  </si>
  <si>
    <t>الشقة الجنوبية الشرقية من الطابق الاول عدا سطحها</t>
  </si>
  <si>
    <t>https://maps.app.goo.gl/kSmHhrt5qJAVUmas7</t>
  </si>
  <si>
    <t>الشقة الشمالية الغربية من الطابق الأول</t>
  </si>
  <si>
    <t>https://maps.app.goo.gl/wx7BCUua3V5JrTFD7</t>
  </si>
  <si>
    <t>الشقة الجنوبية الشرقية من الطابق الارضي عدا سطحهت</t>
  </si>
  <si>
    <t>https://maps.app.goo.gl/LhEUMhhPFrEyAu7o7</t>
  </si>
  <si>
    <t>الشقة الجنوبية الشرقية من الطابق الثاني عدا سطحها</t>
  </si>
  <si>
    <t>https://maps.app.goo.gl/5GeiL9KaKbAcKz6CA</t>
  </si>
  <si>
    <t xml:space="preserve">الشقة الشمالية الشرقية من الطابق الثاني عدا سطحها </t>
  </si>
  <si>
    <t>https://maps.app.goo.gl/CaAziHTC1ykb6X9UA</t>
  </si>
  <si>
    <t xml:space="preserve">الشقة الشمالية الشرقية من طابق الاول عدا سطحها </t>
  </si>
  <si>
    <t>القسم الشمالي من طابق التسوية عبارة عن شقة عدا سطحها</t>
  </si>
  <si>
    <t>https://maps.app.goo.gl/pBfKHzuy9FCiy7SL6</t>
  </si>
  <si>
    <t xml:space="preserve">"مساحة الشقة : 122 م2_x000D_
الشقة الشمالية من الطابق الثاني"_x000D_
</t>
  </si>
  <si>
    <t>https://maps.app.goo.gl/xwKUBLp2ahJEjVGXA</t>
  </si>
  <si>
    <t xml:space="preserve">الشقة الغربية من الطابق الثالث عدا سطحها المعتبر خدمات مشتركة_x000D_
</t>
  </si>
  <si>
    <t>https://maps.app.goo.gl/FLwiycD3vFThcT359</t>
  </si>
  <si>
    <t>شقة تقع في الجهة لشمالية الشرقية طابق ثالث عدا سطحها والمعتبر منافع مشتركة بمساحة 147 م2</t>
  </si>
  <si>
    <t>الطابق الأول عدا سطحه</t>
  </si>
  <si>
    <t>https://maps.app.goo.gl/sKYmv21vEuW86YAH9</t>
  </si>
  <si>
    <t xml:space="preserve">"_x000D_
مساحة الشقة : 110 م2_x000D_
الشقة في الطابق الثالث_x000D_
"_x000D_
</t>
  </si>
  <si>
    <t>https://truemarkets3d.net/3d-virtual-tour/housingbank-realestate/phase3/aq-re-100026/index.html</t>
  </si>
  <si>
    <t>الشقة الشمالية الشرقية من الطابق الاول عدا سطحها</t>
  </si>
  <si>
    <t>الشقة الغربية من الطابق الثالث عدا سطحها المعتبر خدمات مشتركه من البناء الجنوبي 2 الشقة ضمن البناء الشمالي له واجهة من الحجر مؤلف من 5 طوابق ومخدوم بمصعد .</t>
  </si>
  <si>
    <t>شقة الطابق الأول عدا سطحه</t>
  </si>
  <si>
    <t>https://maps.app.goo.gl/EtWrAhRRgQJmyjMW9</t>
  </si>
  <si>
    <t xml:space="preserve">"الشقة تقع في بناية مكونة من 5 طوابق_x000D_
وتقع الشقة بالطابق الاول"_x000D_
</t>
  </si>
  <si>
    <t xml:space="preserve">الطابق الأول عدا سطحه ويتبع له تراس مكشوف 148م2_x000D_
</t>
  </si>
  <si>
    <t xml:space="preserve">الشقة الغربية من الطابق الاول عدا سطحها الشقة </t>
  </si>
  <si>
    <t xml:space="preserve">الشقة الجنوبية من طابق طابق الارضي عدا سطحها ويتبع لها تراس مكشوف 19م2 من البناء الغربي </t>
  </si>
  <si>
    <t>https://maps.app.goo.gl/ADdAk1Pb68KLjcqBA</t>
  </si>
  <si>
    <t xml:space="preserve">الشقة الجنوبية من طابق الارضي عدا سطحها </t>
  </si>
  <si>
    <t>https://maps.app.goo.gl/K6r9TZZ5Cgvjmcq17</t>
  </si>
  <si>
    <t xml:space="preserve"> الشقة الغربية من الطابق الثالث عدا سطحها البناء يتكون من خمسة طوابق بمجموع 11 شقة .</t>
  </si>
  <si>
    <t xml:space="preserve">الشقة الجنوبية من الطابق الثالث عدا سطحها المعتبر منافع مشتركه </t>
  </si>
  <si>
    <t>https://maps.app.goo.gl/fcKBGywg6fqF7Y9v5</t>
  </si>
  <si>
    <t xml:space="preserve">الشقة الشمالية من الطابق الثالث عدا سطحها المعتبر خدمات مشتركه </t>
  </si>
  <si>
    <t>https://maps.app.goo.gl/irVVzZfw1xaBdn2d7</t>
  </si>
  <si>
    <t xml:space="preserve">الشقة الشرقية من الطابق الارضي عدا سطحها ويتبع لها تراس مكشوف مساحته 54م2 </t>
  </si>
  <si>
    <t>https://maps.app.goo.gl/r1jKBj8YNCiGjmpx9</t>
  </si>
  <si>
    <t xml:space="preserve">قطعة ارض منتظمة الشكل بمساحة 500م2 </t>
  </si>
  <si>
    <t xml:space="preserve">مقام على القطعة بناء قديم _x000D_
</t>
  </si>
  <si>
    <t>https://maps.app.goo.gl/7QcUK4DzQanPbPWt7</t>
  </si>
  <si>
    <t xml:space="preserve">قطعة ارض مساحتها تقارب 10 دونم و مقام عليها عده مباني بمساحات مختلفة _x000D_
</t>
  </si>
  <si>
    <t>https://maps.app.goo.gl/VejcLFyRZYZ8fU9VA</t>
  </si>
  <si>
    <t>مساحة القطعة 248 م2</t>
  </si>
  <si>
    <t xml:space="preserve">قطعة ارض مساحتها 836.89 م2  مقام عليها  بناء سكني من الطوب والخرسانة بمساحة 160م2 _x000D_
</t>
  </si>
  <si>
    <t>https://maps.app.goo.gl/rJPRDhdsZx115hDH8</t>
  </si>
  <si>
    <t xml:space="preserve">العقار القائم على قطعة الأرض رقم 2245 حوض بركة برخ رقم 7 قرية البتراوي من اراضي الزرقاء . </t>
  </si>
  <si>
    <t>مساحة الارض 812 م 2</t>
  </si>
  <si>
    <t>https://maps.app.goo.gl/t36xDz5TTRn1P3xS6</t>
  </si>
  <si>
    <t>مساحة القطعة 1188.630 م2</t>
  </si>
  <si>
    <t xml:space="preserve">قطعة بمساحة 1789.430م2. </t>
  </si>
  <si>
    <t>https://maps.app.goo.gl/KGeMnMeLud49eHXGA</t>
  </si>
  <si>
    <t xml:space="preserve">عدد الطوابق: 2 طوابق (ارضي + اول غير مسقوف) </t>
  </si>
  <si>
    <t>https://maps.app.goo.gl/49HWKrFtLFJ9RRUW8</t>
  </si>
  <si>
    <t xml:space="preserve">قطعة ارض مقام عليها بناء مكون من 4 طوابق ارضي وأول وثاني وثالث مساحة كل طابق 270م2_x000D_
</t>
  </si>
  <si>
    <t>https://maps.app.goo.gl/RjnTzXu71B6DuHhb6</t>
  </si>
  <si>
    <t>مساحة 731 م2</t>
  </si>
  <si>
    <t>https://truemarkets3d.net/3d-virtual-tour/housingbank-realestate/phase3/aq-bld-100279/index.html</t>
  </si>
  <si>
    <t xml:space="preserve">"مساحة الأرض: 572.540 م2_x000D_
</t>
  </si>
  <si>
    <t>https://maps.app.goo.gl/eHMbk218CNd2PGtDA</t>
  </si>
  <si>
    <t>مساحة القطعة 389 م2</t>
  </si>
  <si>
    <t>مساحة الارض 405 م2</t>
  </si>
  <si>
    <t>https://maps.app.goo.gl/3reEhsj6DkHv5LKX6</t>
  </si>
  <si>
    <t>"مساحة الأرض: 897 م2_x000D_
مساحة العقار الاجمالية : 544 م2_x000D_
عدد الطوابق : 3 طوابق (تسوية + أرضي + اول)"</t>
  </si>
  <si>
    <t>https://truemarkets3d.net/3d-virtual-tour/housingbank-realestate/phase3/aq-bld-100236/index.html</t>
  </si>
  <si>
    <t>https://maps.app.goo.gl/fmmGqj45Lk5UCFKY8</t>
  </si>
  <si>
    <t>مساحة الأرض: 4461 م2_x000D_
مساحة البناء الاجمالية : 1891م2_x000D_
عدد الطوابق : 3 (تسوية + أرضي + اول)_x000D_
التنظيم: سكن ج</t>
  </si>
  <si>
    <t>https://maps.app.goo.gl/bozGkDugUrQAFjoUA</t>
  </si>
  <si>
    <t xml:space="preserve">مساحة الارض 1243 ومساحة البناء 1746  </t>
  </si>
  <si>
    <t>https://maps.app.goo.gl/82dRELJSixjWugLp7</t>
  </si>
  <si>
    <t>"مساحة الأرض: 1,006 م2_x000D_
مساحة العقار الاجمالية : 200 م2_x000D_
عدد الطوابق : 1 (أرضي)_x000D_
التنظيم: سكن أ"</t>
  </si>
  <si>
    <t>https://maps.app.goo.gl/mkMofyR5tFYsJniV8</t>
  </si>
  <si>
    <t>قطعة أرض مقام عليها بناء (فيلا ) مساحة بناء إجمالية 253م2</t>
  </si>
  <si>
    <t>https://maps.app.goo.gl/KFFTPLZmx9WgcFJ3A</t>
  </si>
  <si>
    <t xml:space="preserve">الزرقاء - اراضي الزرقاء - قرية قاع خنا - حوض ضبيعة 3 - مساحتها - 10,000 م2 لوحة 3 خارج التنظيم ومنتظمة الشكل_x000D_
</t>
  </si>
  <si>
    <t>AQ-LND-100283.jpeg</t>
  </si>
  <si>
    <t>https://maps.app.goo.gl/jidFef5beuMf9sheA</t>
  </si>
  <si>
    <t xml:space="preserve">الزرقاء - اراضي الزرقاء - قرية قاع خنا - حوض ضبيعة 3 - مساحتها - 11,784 م2لوحة 3 خارج التنظيم ومنتظمة الشكل_x000D_
</t>
  </si>
  <si>
    <t>AQ-LND-100287.jpeg</t>
  </si>
  <si>
    <t>الزرقاء - اراضي الزرقاء - قرية قاع خنا - حوض ضبيعة 3 - مساحتها - 14,263 م2لوحة 3 خارج التنظيم ومنتظمة الشكل</t>
  </si>
  <si>
    <t>AQ-LND-100290.jpeg</t>
  </si>
  <si>
    <t>https://maps.app.goo.gl/VMbSFeAuZNRaJ7TX9</t>
  </si>
  <si>
    <t>قطعة رقم 1326 حوض 4 الاعنة سليخ وخالية من الإنشاءات مثلثة الشكل ومنحدرة و بمساحة 537.540</t>
  </si>
  <si>
    <t>AQ-LND-100074.jpeg</t>
  </si>
  <si>
    <t>https://maps.app.goo.gl/p5UeiG7Wqy3ELzHC7</t>
  </si>
  <si>
    <t xml:space="preserve">القطعة رقم 1203 حوض 2 روض شبيب - خو اراضي الزرقاء قطعة تنظيم تجاري سليخ  يوجد عليها كراج سيارة زينكو </t>
  </si>
  <si>
    <t>AQ-LND-100956.jpeg</t>
  </si>
  <si>
    <t xml:space="preserve">قطعة ارض خالية من الانشاءات / سليخ_x000D_
</t>
  </si>
  <si>
    <t>AQ-LND-100547.jpeg</t>
  </si>
  <si>
    <t>https://maps.app.goo.gl/sZPBQeHukGbCoZDY9</t>
  </si>
  <si>
    <t xml:space="preserve">قطعة ارض مساحتها 657 م2 سليخ وخالية من الأبنية والانشاءات والأشجار _x000D_
</t>
  </si>
  <si>
    <t>AQ-LND-100159.jpeg</t>
  </si>
  <si>
    <t>https://maps.app.goo.gl/K5ftzPSd6z6MToWU9</t>
  </si>
  <si>
    <t xml:space="preserve">"مساحة الأرض: 26,932 م2_x000D_
</t>
  </si>
  <si>
    <t>AQ-LND-100140.jpeg</t>
  </si>
  <si>
    <t>https://maps.app.goo.gl/MKuNLonKeLB1z1gt9</t>
  </si>
  <si>
    <t xml:space="preserve">"مساحة الأرض: 501.490 م2_x000D_
مساحة البناء الاجمالية : 307 م2_x000D_
التنظيم: سكن ج_x000D_
عدد الطوابق: 2 طوابق ( ارضي + اول) </t>
  </si>
  <si>
    <t>https://maps.app.goo.gl/wdysZEkQ4eVohZRc8</t>
  </si>
  <si>
    <t xml:space="preserve">"عقار قائم على قطعة رقم 576 حوض 6 قويحان القرية السخنة" مساحة القطعة 699 م2 مقام عليها بناء من طابقين بمساحة إجمالية 327 م2 _x000D_
</t>
  </si>
  <si>
    <t>https://maps.app.goo.gl/eBjN3nffY4XHPcbF7</t>
  </si>
  <si>
    <t xml:space="preserve">طابق التسوية وجزء من سطح طابق التسوية مقام عليه طابق ارضي مساحته 24م قس القسم الشمالي من السطح_x000D_
</t>
  </si>
  <si>
    <t>https://maps.app.goo.gl/rLhjJBoAKcAsRd6y7</t>
  </si>
  <si>
    <t xml:space="preserve">طابق التسوية الأولى عدا سطحه وهي مقامة على قطعة ارض منتظمة الشكل ومخدومه بشارع البناء المقام على قطعة من الاعمده والطوب المقصور البناء يتكون من شقق ومخازن تجارية الشقة على الواقع مقسومة الى شقتين ومؤجرات يوجد رطوبة عالية وتشققات وهي بحاجة الى صيانة ويوجد شقة مغلقة لم يتم الكشف عليها من الداخل . </t>
  </si>
  <si>
    <t>https://maps.app.goo.gl/339xFF8oG3pQiBZK6</t>
  </si>
  <si>
    <t xml:space="preserve">الشقة الغربية من الطابق الأرضي عدا سطحها ويتبع لها تراس مسقوف ومساحته 21 م 2_x000D_
</t>
  </si>
  <si>
    <t>https://maps.app.goo.gl/9JdRDMJiocdRG3UWA</t>
  </si>
  <si>
    <t xml:space="preserve">الطابق الأول عدا سطحها_x000D_
</t>
  </si>
  <si>
    <t>https://maps.app.goo.gl/Eqs4yfTbVDHCPyfx8</t>
  </si>
  <si>
    <t xml:space="preserve">سطح الطابق الأرضي_x000D_
</t>
  </si>
  <si>
    <t>https://maps.app.goo.gl/sWVr5rvPBTvKmKxj7</t>
  </si>
  <si>
    <t xml:space="preserve">قطعة أرض غير منتظمة الشكل مساحتها 1509 م2 مقام عليها حظيرة أغنام  من الطوب والزينكو مساحتها 45م2 _x000D_
</t>
  </si>
  <si>
    <t>https://maps.app.goo.gl/8AmqVAUV54EUe8eW6</t>
  </si>
  <si>
    <t xml:space="preserve">العقار بناء سكني شعبي قديم من الاعمده والطوب مؤلف من طابق 1 مساحة 102م2 مشطب تشطيب عادي البناء شعبي بعمر 35 عام </t>
  </si>
  <si>
    <t>https://maps.app.goo.gl/nzvihjacCQVKVv8r8</t>
  </si>
  <si>
    <t xml:space="preserve">المساحة 762م 2 </t>
  </si>
  <si>
    <t>https://maps.app.goo.gl/GyuKSSrucU1mHS8PA</t>
  </si>
  <si>
    <t xml:space="preserve">ارض مساحتها - 1,924 م2 منظمة سكن زراعي بأحكام خارج التنظيم_x000D_
</t>
  </si>
  <si>
    <t>AQ-LND-100450.jpeg</t>
  </si>
  <si>
    <t>https://maps.app.goo.gl/522ACyue7Dw1ySsMA</t>
  </si>
  <si>
    <t>قطعة ارض خالية من الشواغل</t>
  </si>
  <si>
    <t>AQ-LND-100953.jpeg</t>
  </si>
  <si>
    <t xml:space="preserve">ارض مساحتها -3,728 م2 لوحة 21 _x000D_
</t>
  </si>
  <si>
    <t>AQ-LND-100459.jpeg</t>
  </si>
  <si>
    <t>https://maps.app.goo.gl/DTJbF2G5AkCBaap36</t>
  </si>
  <si>
    <t xml:space="preserve">ارض مساحتها - 1633م2 _x000D_
</t>
  </si>
  <si>
    <t>AQ-LND-100191.jpeg</t>
  </si>
  <si>
    <t>https://maps.app.goo.gl/KRB3rzP3aWv4DZrw9</t>
  </si>
  <si>
    <t xml:space="preserve">قطعة ارض خالية من الأبنية والإنشاءات </t>
  </si>
  <si>
    <t>https://maps.app.goo.gl/MB26VjWss3DaSAVd7</t>
  </si>
  <si>
    <t xml:space="preserve">قطعة ارض مساحتها الاجمالية 6279 م2 </t>
  </si>
  <si>
    <t>AQ-LND-100382.jpeg</t>
  </si>
  <si>
    <t>https://maps.app.goo.gl/kKmnpxAguuxxMbsAA</t>
  </si>
  <si>
    <t xml:space="preserve">ارض مساحتها - 26,219 م2 _x000D_
</t>
  </si>
  <si>
    <t>AQ-LND-100221.jpeg</t>
  </si>
  <si>
    <t>https://maps.app.goo.gl/bbntg53bmAVeQbJK7</t>
  </si>
  <si>
    <t xml:space="preserve">ارض المساحة - 21,204 م2 لوحة 312 زراعية خارج التنظيم_x000D_
</t>
  </si>
  <si>
    <t>AQ-LND-100467.jpeg</t>
  </si>
  <si>
    <t>https://maps.app.goo.gl/6YUJcyfF31sEYAWM8</t>
  </si>
  <si>
    <t>المخزن السابع والعشرون من طابق التسوية عدا سطحه بمساحة 9م2.</t>
  </si>
  <si>
    <t>https://maps.app.goo.gl/GNPJvfncnCM8V7ZDA</t>
  </si>
  <si>
    <t>المخزن العشرون من طابق التسوية عدا سطحه بمساحة 23م 2</t>
  </si>
  <si>
    <t>المخزن الحادي عشر من طابق التسوية عدا سطحه بمساحة 25م2.</t>
  </si>
  <si>
    <t>https://maps.app.goo.gl/PmwE1hpK62FCGpay8</t>
  </si>
  <si>
    <t>المخزن الثالث عشر من طابق التسوية عدا سطحه بمساحة 29م2</t>
  </si>
  <si>
    <t>المخزن الثاني عشر من طابق التسوية عدا سطحه بمساحة 30م2</t>
  </si>
  <si>
    <t xml:space="preserve">مخزن مؤلف من باب واحد وعبارة عن مستودع فارغ_x000D_
</t>
  </si>
  <si>
    <t>https://maps.app.goo.gl/9oqv8F4tu54M7ChF6</t>
  </si>
  <si>
    <t>المخزن الثاني والعشرون من طابق التسوية عدا سطحه 26م2</t>
  </si>
  <si>
    <t>"مساحة السطح : 315 م2_x000D_
السطح مقام عليه بناء روف بمساحة 142 م2 ويوجد به سند تسجيل مستقل"</t>
  </si>
  <si>
    <t>https://truemarkets3d.net/3d-virtual-tour/housingbank-realestate/phase3/aq-re-100385/index.html</t>
  </si>
  <si>
    <t>https://maps.app.goo.gl/3HcoYjFkhR7F6YYX6</t>
  </si>
  <si>
    <t>https://youtu.be/sWKfBmYY4cQ</t>
  </si>
  <si>
    <t xml:space="preserve">سطح الشقة الشمالية من الطابق الاول </t>
  </si>
  <si>
    <t xml:space="preserve">سطح الشقة الجنوبية من الطابق الاول </t>
  </si>
  <si>
    <t xml:space="preserve">طابق التسوية عدا سطحه </t>
  </si>
  <si>
    <t>الشقة الجنوبية الغربية من طابق التسوية الثالث عدا السطح</t>
  </si>
  <si>
    <t>https://maps.app.goo.gl/VBweDiHNgF3JENxcA</t>
  </si>
  <si>
    <t xml:space="preserve">"عدد الغرف: غرفة ضيوف + بلكونة + غرفتين نوم + 2 حمام + مطبخ_x000D_
"_x000D_
</t>
  </si>
  <si>
    <t>https://maps.app.goo.gl/bWeoxqp64j34EsDz9</t>
  </si>
  <si>
    <t xml:space="preserve">الطابق الأول عدا سطحه ويتبع له تراس مساحته 24ن_x000D_
</t>
  </si>
  <si>
    <t xml:space="preserve">الشقة الشمالية من الطابق الثاني عدا سطحها </t>
  </si>
  <si>
    <t>https://truemarkets3d.net/3d-virtual-tour/housingbank-realestate/phase3/aq-re-100102/index.html</t>
  </si>
  <si>
    <t>https://maps.app.goo.gl/18D643vFWhNA1VvUA</t>
  </si>
  <si>
    <t xml:space="preserve">الشقة الشمالية الغربية من طابق التسوية الأولى عدا سطحها_x000D_
_x000D_
</t>
  </si>
  <si>
    <t>https://truemarkets3d.net/3d-virtual-tour/housingbank-realestate/phase3/aq-re-100538/index.html</t>
  </si>
  <si>
    <t>https://maps.app.goo.gl/gJgkxjtdkCa7kW5G6</t>
  </si>
  <si>
    <t>https://youtu.be/ZHZnvxhpPdU</t>
  </si>
  <si>
    <t xml:space="preserve">الشقة رقم 814- القائمة على قطعة الأرض رقم 3266 وهي الشقة الشمالية الشرقية من طابق التسوية الثانية من البناء الثامن_x000D_
</t>
  </si>
  <si>
    <t>https://maps.app.goo.gl/7T7TVpSx9C8LK6M58</t>
  </si>
  <si>
    <t xml:space="preserve">الشقة الشرقية من الطابق الثاني عدا سطحها_x000D_
</t>
  </si>
  <si>
    <t xml:space="preserve">الشقة الغربية من الطابق الثاني عدا سطحها_x000D_
</t>
  </si>
  <si>
    <t>https://maps.app.goo.gl/CVUY1QsTKfAiCceLA</t>
  </si>
  <si>
    <t xml:space="preserve">شقة مكونة من صالون + 2 حمام + مطبخ + 3 غرف نوم_x000D_
</t>
  </si>
  <si>
    <t>https://maps.app.goo.gl/Ex28ztdotoUbceN18</t>
  </si>
  <si>
    <t xml:space="preserve">الشقة الشمالية الغربية من الطابق الأول عدا سطحها_x000D_
</t>
  </si>
  <si>
    <t>https://truemarkets3d.net/3d-virtual-tour/housingbank-realestate/phase3/aq-re-100366/index.html</t>
  </si>
  <si>
    <t xml:space="preserve">الشقة الجنوبية الشرقية من الطابق الأرضي عدا سطحه_x000D_
</t>
  </si>
  <si>
    <t>https://truemarkets3d.net/3d-virtual-tour/housingbank-realestate/phase3/aq-re-100344/index.html</t>
  </si>
  <si>
    <t>https://maps.app.goo.gl/ERYJaf2se3aibHBUA</t>
  </si>
  <si>
    <t xml:space="preserve">الشقة الجنوبية من الطابق الاول </t>
  </si>
  <si>
    <t>"مساحة الشقة : 115 م2_x000D_
الشقة في الطابق الاول</t>
  </si>
  <si>
    <t>https://maps.app.goo.gl/aTx7pKjbh17iq25x8</t>
  </si>
  <si>
    <t>الشقة الشمالية الغربية من الطابق الثاني عدا سطحها</t>
  </si>
  <si>
    <t>https://truemarkets3d.net/3d-virtual-tour/housingbank-realestate/phase3/aq-re-100514/index.html</t>
  </si>
  <si>
    <t>https://maps.app.goo.gl/5sc3NScLkSbgC8vMA</t>
  </si>
  <si>
    <t>https://youtu.be/ubFjmbx5NEI</t>
  </si>
  <si>
    <t xml:space="preserve">الشقة الشرقية من الطابق الأرضي عدا سطحها_x000D_
</t>
  </si>
  <si>
    <t xml:space="preserve">الشقة الغربية من الطابق الأرضي عدا سطحها_x000D_
</t>
  </si>
  <si>
    <t>"_x000D_
مساحة الشقة : 141 م2_x000D_
الشقة في الطابق الثالث"</t>
  </si>
  <si>
    <t>https://truemarkets3d.net/3d-virtual-tour/housingbank-realestate/phase3/aq-re-100118/index.html</t>
  </si>
  <si>
    <t>https://maps.app.goo.gl/kbtz4cZjB6puina27</t>
  </si>
  <si>
    <t>الشقة الجنوبية الشرقية من الطابق الثالث</t>
  </si>
  <si>
    <t>https://maps.app.goo.gl/4XnYQpA3F8XtgmkL6</t>
  </si>
  <si>
    <t xml:space="preserve">الشقة الشمالية من طابق الاول عدا سطحها </t>
  </si>
  <si>
    <t>الشقة الشمالية الشرقيه من الطابق الثاني عدا سطحها</t>
  </si>
  <si>
    <t>https://truemarkets3d.net/3d-virtual-tour/housingbank-realestate/phase3/aq-re-100480/index.html</t>
  </si>
  <si>
    <t>https://maps.app.goo.gl/Y9TmiZM2eCzjn8H49</t>
  </si>
  <si>
    <t>https://youtu.be/tmGy33dVEJs</t>
  </si>
  <si>
    <t>الطابق الارضي عدا سطحه</t>
  </si>
  <si>
    <t>https://truemarkets3d.net/3d-virtual-tour/housingbank-realestate/phase3/aq-re-100512/index.html</t>
  </si>
  <si>
    <t>https://maps.app.goo.gl/q8jxZJE12xrqNLrV8</t>
  </si>
  <si>
    <t xml:space="preserve">"_x000D_
مساحة الشقة : 168 م2_x000D_
الشقة تقع في الطابق الأرضي (الشقة الغربية)"_x000D_
</t>
  </si>
  <si>
    <t>https://maps.app.goo.gl/9HgMwvdaYCYtsHaMA</t>
  </si>
  <si>
    <t>"مساحة الشقة : 128 م2_x000D_
الشقة في الطابق الثالث (الجنوبية)</t>
  </si>
  <si>
    <t>"مساحة الشقة : 128 م2_x000D_
الشقة في الطابق الثالث (الشمالية)</t>
  </si>
  <si>
    <t>https://maps.app.goo.gl/KVbpBtAUNLD4fGf17</t>
  </si>
  <si>
    <t>https://truemarkets3d.net/3d-virtual-tour/housingbank-realestate/phase3/aq-re-100860/index.html</t>
  </si>
  <si>
    <t>https://maps.app.goo.gl/iXC6GxQpcnzo8KVt8</t>
  </si>
  <si>
    <t>"مساحة الشقة : 128 م2_x000D_
الشقة في الطابق الثاني (الشمالية)</t>
  </si>
  <si>
    <t>"مساحة الشقة : 128 م2_x000D_
الشقة في الطابق الثاني (الجنوبية)</t>
  </si>
  <si>
    <t xml:space="preserve">الشفة الجنوبية من الطابق الأول عدا سطحها_x000D_
</t>
  </si>
  <si>
    <t xml:space="preserve">الشقة الجنوبية من الطابق الثاني عدا السطح_x000D_
</t>
  </si>
  <si>
    <t>https://maps.app.goo.gl/vori1xhEio1x7ks39</t>
  </si>
  <si>
    <t xml:space="preserve">الشقة الشمالية من الطابق الأول عدا سطحها_x000D_
</t>
  </si>
  <si>
    <t>https://maps.app.goo.gl/aJVnusEN6pMP5L547</t>
  </si>
  <si>
    <t xml:space="preserve">الشقة الجنوبية من الطابق التسوية الثانية عدا سطحها </t>
  </si>
  <si>
    <t>"_x000D_
مساحة الشقة : 119 م2_x000D_
الشقة في الطابق الثالث</t>
  </si>
  <si>
    <t>https://truemarkets3d.net/3d-virtual-tour/housingbank-realestate/phase3/aq-re-100174/index.html</t>
  </si>
  <si>
    <t>https://maps.app.goo.gl/WaxN6ZWFE4AJ92L17</t>
  </si>
  <si>
    <t xml:space="preserve">الشقة الشرقية من الطابق التسوية الأولى عدا سطحها_x000D_
</t>
  </si>
  <si>
    <t>https://truemarkets3d.net/3d-virtual-tour/housingbank-realestate/phase3/aq-re-100323/index.html</t>
  </si>
  <si>
    <t>https://maps.app.goo.gl/AMmEKf5h3mgNwH1DA</t>
  </si>
  <si>
    <t xml:space="preserve">"مساحة الشقة : 115 م2_x000D_
الشقة في طابق التسوية الثانية_x000D_
"_x000D_
</t>
  </si>
  <si>
    <t>https://truemarkets3d.net/3d-virtual-tour/housingbank-realestate/phase3/aq-re-100133/index.html</t>
  </si>
  <si>
    <t>https://maps.app.goo.gl/MGV17BkDEptxmrii6</t>
  </si>
  <si>
    <t>https://truemarkets3d.net/3d-virtual-tour/housingbank-realestate/phase3/aq-re-100484/index.html</t>
  </si>
  <si>
    <t>https://maps.app.goo.gl/KDy3Gtuicwz5XZ1M9</t>
  </si>
  <si>
    <t>شقة طابق ثالث</t>
  </si>
  <si>
    <t>https://truemarkets3d.net/3d-virtual-tour/housingbank-realestate/phase3/aq-re-100384/index.html</t>
  </si>
  <si>
    <t>https://maps.app.goo.gl/avzK77Gt6NLxUM4k8</t>
  </si>
  <si>
    <t xml:space="preserve">الشقة الشمالية الغربية من الطابق الرابع من البناء الغربي 2 عدا سطحها المعتبر منافع مشتركة_x000D_
</t>
  </si>
  <si>
    <t>https://truemarkets3d.net/3d-virtual-tour/housingbank-realestate/phase3/aq-re-100345/index.html</t>
  </si>
  <si>
    <t>https://maps.app.goo.gl/8cAVQW4dZDPtuPu36</t>
  </si>
  <si>
    <t xml:space="preserve">الشقة الشمالية من الطابق الأرضي عدا سطحها _x000D_
</t>
  </si>
  <si>
    <t xml:space="preserve">الشقة الشرقية من طابق التسوية الأولى عدا سطحها البناء الشمالي يتكون من ستة طوابق بواقع 10 شقق .     </t>
  </si>
  <si>
    <t xml:space="preserve">"_x000D_
مساحة الشقة : 117 م2_x000D_
الشقة تقع في الطابق الأرضي_x000D_
"_x000D_
</t>
  </si>
  <si>
    <t>https://truemarkets3d.net/3d-virtual-tour/housingbank-realestate/phase3/aq-re-100184/index.html</t>
  </si>
  <si>
    <t>09.29.2024_16.10.45.jpg, 09.29.2024_16.11.42.jpg, 09.29.2024_16.12.46.jpg, 09.29.2024_16.13.25.jpg, 09.29.2024_16.14.15.jpg, 09.29.2024_16.15.36.jpg, 09.30.2024_10.10.29.jpg, 09.30.2024_10.12.37.jpg, 09.30.2024_10.13.10.jpg, 09.30.2024_10.14.04.jpg, 09.30.2024_10.14.45.jpg, 09.30.2024_10.15.18.jpg, 09.30.2024_10.15.51.jpg</t>
  </si>
  <si>
    <t>https://maps.app.goo.gl/YAb79zfuPzgYQsi7A</t>
  </si>
  <si>
    <t xml:space="preserve">الشقة الجنوبية من الطابق الأرضي عدا سطحها_x000D_
</t>
  </si>
  <si>
    <t xml:space="preserve">الشقة الجنوبية الشرقية من طابق الثالث عدا سطحها المعتبر منافع مشتركه </t>
  </si>
  <si>
    <t>الشقة الشمالية من الطابق الثالث عدا سطحها المعتبر منافع مشتركه .</t>
  </si>
  <si>
    <t>https://maps.app.goo.gl/boHCvhcK4sWuF6V77</t>
  </si>
  <si>
    <t>الشقة الشمالية من الطابق الثاني عدا سطحها .</t>
  </si>
  <si>
    <t xml:space="preserve">الشقة الشمالية الغربية من طابق التسوية الاولى عدا سطحها_x000D_
</t>
  </si>
  <si>
    <t>https://truemarkets3d.net/3d-virtual-tour/housingbank-realestate/phase3/aq-re-100535/index.html</t>
  </si>
  <si>
    <t>https://maps.app.goo.gl/MJJ1DuF6Zs6u4YJS8</t>
  </si>
  <si>
    <t>https://www.youtube.com/embed/U9vzjEodZPg</t>
  </si>
  <si>
    <t>الشقة الشمالية من طابق التسوية</t>
  </si>
  <si>
    <t>https://truemarkets3d.net/3d-virtual-tour/housingbank-realestate/phase3/aq-re-100027/index.html</t>
  </si>
  <si>
    <t>https://maps.app.goo.gl/pzVXtMBLw2zSNrni6</t>
  </si>
  <si>
    <t xml:space="preserve">الشقة الغربية من طابق التسوية الأولى عدا سطحها </t>
  </si>
  <si>
    <t>https://truemarkets3d.net/3d-virtual-tour/housingbank-realestate/phase3/aq-re-100130/index.html</t>
  </si>
  <si>
    <t>https://maps.app.goo.gl/b1Hc8pAfjoevcjWLA</t>
  </si>
  <si>
    <t>الشقة الشرقية من طابق التسوية الثانية عدا سطحها</t>
  </si>
  <si>
    <t>https://truemarkets3d.net/3d-virtual-tour/housingbank-realestate/phase3/aq-re-100146/index.html</t>
  </si>
  <si>
    <t>https://maps.app.goo.gl/211YwpBmvUgA5Kkq5</t>
  </si>
  <si>
    <t xml:space="preserve">الشقة الشمالية الغربية من الطابق الاول عدا سطحها </t>
  </si>
  <si>
    <t xml:space="preserve">الشقة الغربية من الطابق الثاني ومساحتها 120 م2_x000D_
</t>
  </si>
  <si>
    <t>https://truemarkets3d.net/3d-virtual-tour/housingbank-realestate/phase3/aq-re-100157/index.html</t>
  </si>
  <si>
    <t>https://maps.app.goo.gl/UWZgTtN1KouUbsRM9</t>
  </si>
  <si>
    <t xml:space="preserve">الشقة في الجهة الشرقية من الطابق الثالث عدا السطح_x000D_
</t>
  </si>
  <si>
    <t>https://truemarkets3d.net/3d-virtual-tour/housingbank-realestate/phase3/aq-re-100541/index.html</t>
  </si>
  <si>
    <t>https://maps.app.goo.gl/UiNy15a7zMz9Q7ya8</t>
  </si>
  <si>
    <t>الشقة الشمالية من طابق الأرضي عدا سطحها .</t>
  </si>
  <si>
    <t>الشقة الشمالية من طابق الأول عدا سطحها .</t>
  </si>
  <si>
    <t>الشقة الشمالية من الطابق التسوية الأولى عدا سطحها .</t>
  </si>
  <si>
    <t xml:space="preserve">الشقة الشمالية الشرقية من الطابق الثالث عدا سطحها_x000D_
</t>
  </si>
  <si>
    <t>https://truemarkets3d.net/3d-virtual-tour/housingbank-realestate/phase3/aq-re-100711/index.html</t>
  </si>
  <si>
    <t>https://maps.app.goo.gl/jYFKLPUhbgENKsww7</t>
  </si>
  <si>
    <t>https://www.youtube.com/embed/w5LDp-sbq7U</t>
  </si>
  <si>
    <t>"مساحة الشقة : 141 م2_x000D_
الشقة في طابق التسوية الاولى</t>
  </si>
  <si>
    <t>https://truemarkets3d.net/3d-virtual-tour/housingbank-realestate/phase3/aq-re-100014/index.html</t>
  </si>
  <si>
    <t>https://maps.app.goo.gl/8TyRfcepVexCGndS9</t>
  </si>
  <si>
    <t xml:space="preserve">الشقة الجنوبية من الطابق الثالث عدا سطحها تنظيم سكن أ_x000D_
</t>
  </si>
  <si>
    <t>https://truemarkets3d.net/3d-virtual-tour/housingbank-realestate/phase3/aq-re-100169/index.html</t>
  </si>
  <si>
    <t>https://maps.app.goo.gl/peiScTgvKRJSFmbp7</t>
  </si>
  <si>
    <t>https://maps.app.goo.gl/7EN8Zya1qa4zmhRH9</t>
  </si>
  <si>
    <t>الشقة الشمالية من طابق التسوية عدا  سطحها</t>
  </si>
  <si>
    <t>https://maps.app.goo.gl/1rqMktQnzQcfXMkH8</t>
  </si>
  <si>
    <t xml:space="preserve">الشقة الشرقية من طابق الثالث عدا سطحها المعتبر منافع مشتركه </t>
  </si>
  <si>
    <t>القسم الغربي من طابق التسويه الثالثه عدا سطحه ( شقة )</t>
  </si>
  <si>
    <t>https://truemarkets3d.net/3d-virtual-tour/housingbank-realestate/phase3/aq-re-100478/index.html</t>
  </si>
  <si>
    <t>https://maps.app.goo.gl/eZrUbqiQZUf7VrZr7</t>
  </si>
  <si>
    <t>الشقة الشمالية من طابق الثاني عدا سطحها .</t>
  </si>
  <si>
    <t>الشقة الشمالية من الطابق الثاني عدا سطحها</t>
  </si>
  <si>
    <t>https://truemarkets3d.net/3d-virtual-tour/housingbank-realestate/phase3/aq-re-100550/index.html</t>
  </si>
  <si>
    <t>https://maps.app.goo.gl/C8CZpFrFQDzqTPbB9</t>
  </si>
  <si>
    <t xml:space="preserve">الشقة الشرقية من طابق الثاني عدا سطحه _x000D_
</t>
  </si>
  <si>
    <t>https://maps.app.goo.gl/JTxDjVi5xfoQLkK18</t>
  </si>
  <si>
    <t xml:space="preserve">الشقة الغربية من الطابق الثاني عدا سطحها المعتبر منافع مشتركة_x000D_
</t>
  </si>
  <si>
    <t xml:space="preserve">الشقة الشرقية من طابق الارضي عدا سطحها مساحتها 120م2 </t>
  </si>
  <si>
    <t xml:space="preserve">الطابق الثالث عدا سطحه </t>
  </si>
  <si>
    <t>الشقة الجنوبية من الطابق الثالث عدا سطحها المعتبر منافع مشتركه.</t>
  </si>
  <si>
    <t xml:space="preserve">الطابق الثاني عدا سطحه </t>
  </si>
  <si>
    <t xml:space="preserve">الشقة الشمالية من الطابق الثاني عدا سطحها_x000D_
</t>
  </si>
  <si>
    <t>https://maps.app.goo.gl/Q4CPo1Jsu7wMYEP18</t>
  </si>
  <si>
    <t xml:space="preserve">الشقة الشمالية الغربية من الطابق الثالث عدا سطحها المعتبر منافع مشتركه </t>
  </si>
  <si>
    <t>https://maps.app.goo.gl/uXXBmmsY9qrxGAK68</t>
  </si>
  <si>
    <t xml:space="preserve">الشقة الجنوبية الغربية من طابق التسوية عدا سطحها </t>
  </si>
  <si>
    <t xml:space="preserve"> سطح الطابق الأرضي (حق الاعتلاء لجميع الطوابق يعود للمالك السابق جمال رشيد) .     </t>
  </si>
  <si>
    <t>https://truemarkets3d.net/3d-virtual-tour/housingbank-realestate/phase3/aq-re-100940/index.html</t>
  </si>
  <si>
    <t>الشقة الجنوبية الغربية من الطابق الارضي عدا سطحها</t>
  </si>
  <si>
    <t xml:space="preserve">الطابق الاول عدا سطحه </t>
  </si>
  <si>
    <t>"الشقة ضمن بناء مكون من 9 شقق وعمر البناء حديث من عام 2018_x000D_
البناء 4 واجهات حجر"</t>
  </si>
  <si>
    <t>https://maps.app.goo.gl/JBx5mcD1pSNku9H87</t>
  </si>
  <si>
    <t xml:space="preserve">الشقة الجنوبية من طابق التسوية الثانية عدا سطحها </t>
  </si>
  <si>
    <t>الشقة الجنوبية من الطابق الثاني عدا سطحها.</t>
  </si>
  <si>
    <t xml:space="preserve">الشقة الجنوبية الغربية من الطابق الثاني عدا سطحها </t>
  </si>
  <si>
    <t>"الشقة الجنوبية من طابق التسوية الأولى عدا سطحها"</t>
  </si>
  <si>
    <t>https://truemarkets3d.net/3d-virtual-tour/housingbank-realestate/phase3/aq-re-100549/index.html</t>
  </si>
  <si>
    <t>https://maps.app.goo.gl/GUpiRafg5JQda89X7</t>
  </si>
  <si>
    <t xml:space="preserve">الشقة الشرقية من الطابق الثالث عدا سطحها المعتبر منافع مشتركة </t>
  </si>
  <si>
    <t>https://truemarkets3d.net/3d-virtual-tour/housingbank-realestate/phase3/aq-re-100122/index.html</t>
  </si>
  <si>
    <t>https://maps.app.goo.gl/oeW83VDAaD4bodJfA</t>
  </si>
  <si>
    <t>الشقة الجنوبية الغربية من الطابق الثالث عدا السطح</t>
  </si>
  <si>
    <t>https://truemarkets3d.net/3d-virtual-tour/housingbank-realestate/phase3/aq-re-100039/index.html</t>
  </si>
  <si>
    <t>https://maps.app.goo.gl/jENfBBd2m4vrtLZq9</t>
  </si>
  <si>
    <t xml:space="preserve">الشقة الجنوبية الشرقية من طابق التسوية الثانية عدا سطحها </t>
  </si>
  <si>
    <t xml:space="preserve">طابق التسوية الثانية عدا السطح_x000D_
</t>
  </si>
  <si>
    <t>https://maps.app.goo.gl/Pdg7Tbzp3q1vqj3y8</t>
  </si>
  <si>
    <t xml:space="preserve">الطابق الارضي عدا سطحه </t>
  </si>
  <si>
    <t xml:space="preserve">الشقة الغربية من الطابق الثالث عدا سطحها المعتبر منافع مشتركة </t>
  </si>
  <si>
    <t>https://truemarkets3d.net/3d-virtual-tour/housingbank-realestate/phase3/aq-re-100123/index.html</t>
  </si>
  <si>
    <t>https://maps.app.goo.gl/85dFTm6w5eh5cFpeA</t>
  </si>
  <si>
    <t xml:space="preserve">الشقة الجنوبية الشرقية من الطابق الاول عدا سطحها </t>
  </si>
  <si>
    <t>https://maps.app.goo.gl/avm15mhnaw4qyuLg6</t>
  </si>
  <si>
    <t>الشقة الجنوبية من طابق الأرضي عدا سطحها .</t>
  </si>
  <si>
    <t xml:space="preserve">مساحة الشقة : 167 م2_x000D_
الشقة في الطابق الأول"_x000D_
</t>
  </si>
  <si>
    <t>https://truemarkets3d.net/3d-virtual-tour/housingbank-realestate/phase3/aq-re-100115/index.html</t>
  </si>
  <si>
    <t>https://maps.app.goo.gl/RJdWCLyv6pwXDKhq8</t>
  </si>
  <si>
    <t>الشقة الجنوبية من طابق الأول عدا سطحها .</t>
  </si>
  <si>
    <t xml:space="preserve">طابق التسوية الاولى عدا السطح_x000D_
</t>
  </si>
  <si>
    <t xml:space="preserve">الشقة الشمالية الغربية من طابق الثاني  عدا سطحها </t>
  </si>
  <si>
    <t>الشقة الجنوبية من الطابق التسوية الأولى عدا سطحها .</t>
  </si>
  <si>
    <t>الشقة الجنوبية من طابق الثاني عدا سطحها ومساحتها 158م2 .</t>
  </si>
  <si>
    <t xml:space="preserve">الشقة الجنوبية الشرقية من الطابق الارضي عدا سطحها </t>
  </si>
  <si>
    <t xml:space="preserve">الطابق الأرضي عدا سطحه_x000D_
</t>
  </si>
  <si>
    <t xml:space="preserve">البناء يتكون من خمسة طوابق بمجموع 7 شقق وصف الشقة المعنية الطابق الثاني عدا سطحه الشقة على الواقع مقسومه الى شقتين حسب المعلومات السابقة .     </t>
  </si>
  <si>
    <t>https://maps.app.goo.gl/mFnjNEXHi6AX1uGB8</t>
  </si>
  <si>
    <t xml:space="preserve">الطابق الاول عدا سطحه و يتبع له تراس مكشوف 11 من القسم الجنوبي 1 </t>
  </si>
  <si>
    <t xml:space="preserve">الشقة الغربية من طابق التسوية الأولى عدا سطحها_x000D_
</t>
  </si>
  <si>
    <t>https://truemarkets3d.net/3d-virtual-tour/housingbank-realestate/phase3/aq-re-100749/index.html</t>
  </si>
  <si>
    <t>https://maps.app.goo.gl/NUz9XJrJbDQFJvDU6</t>
  </si>
  <si>
    <t xml:space="preserve">الطابق الثاني عدا السطح </t>
  </si>
  <si>
    <t>https://maps.app.goo.gl/P4ZHVhL2SDqrEY9z8</t>
  </si>
  <si>
    <t xml:space="preserve">الشقة الشمالية من الطابق الارضي عدا سطحها مساحتها 150م2 </t>
  </si>
  <si>
    <t xml:space="preserve">الشقة الشرقية من الطابق التسوية عدا سطحها_x000D_
</t>
  </si>
  <si>
    <t>https://maps.app.goo.gl/AaPL6x8f3Epshw3A6</t>
  </si>
  <si>
    <t>الشقة الشرقية من الطابق الثالث عدا سطحها المعتبر منافع مشتركة</t>
  </si>
  <si>
    <t>https://truemarkets3d.net/3d-virtual-tour/housingbank-realestate/phase3/aq-re-100113/index.html</t>
  </si>
  <si>
    <t>https://maps.app.goo.gl/RcLya9VzoKjrcVjX7</t>
  </si>
  <si>
    <t>الشقة الشمالية من الطابق الثاني عدا سطحه</t>
  </si>
  <si>
    <t>https://truemarkets3d.net/3d-virtual-tour/housingbank-realestate/phase3/aq-re-100521/index.html</t>
  </si>
  <si>
    <t>https://maps.app.goo.gl/qLQ5BPu7PfNaEtY78</t>
  </si>
  <si>
    <t>الشقة الجنوبية الشرقية من الطابق الثالث عدا سطحها</t>
  </si>
  <si>
    <t>https://www.true-markets.net/media/360tour/housing-bank/1960-131/index.html</t>
  </si>
  <si>
    <t>https://maps.app.goo.gl/Nq3Tn1h3kFCRPX2N9</t>
  </si>
  <si>
    <t xml:space="preserve">الشقة الشمالية من الطابق الأرضي عدا سطحها </t>
  </si>
  <si>
    <t>الشقة الغربية من الطابق التسوية الاولى عدا سطحها</t>
  </si>
  <si>
    <t>https://truemarkets3d.net/3d-virtual-tour/housingbank-realestate/phase3/aq-re-100565/index.html</t>
  </si>
  <si>
    <t>https://maps.app.goo.gl/LVzG22XCMkTF2GnN9</t>
  </si>
  <si>
    <t>https://youtu.be/HnI2uq5itUI</t>
  </si>
  <si>
    <t>الشقة الجنوبية من طابق التسوية عدا سطحها</t>
  </si>
  <si>
    <t xml:space="preserve">الشقة الشمالية من الطابق الأرضي - تلاع العلي </t>
  </si>
  <si>
    <t>https://truemarkets3d.net/3d-virtual-tour/housingbank-realestate/phase3/aq-re-100028/index.html</t>
  </si>
  <si>
    <t>https://maps.app.goo.gl/8xbcN4kXprhQ9SPx7</t>
  </si>
  <si>
    <t xml:space="preserve">الطابق الأول عدا سطحه_x000D_
</t>
  </si>
  <si>
    <t>https://maps.app.goo.gl/BmWitPWPQ29bRjzo6</t>
  </si>
  <si>
    <t xml:space="preserve">الشقة الغربية من الطابق الأول عدا سطحها_x000D_
</t>
  </si>
  <si>
    <t>https://www.true-markets.net/media/360tour/housing-bank/1278-111/index.html</t>
  </si>
  <si>
    <t>الشقة الشرقية من الطابق الأول عدا سطحها</t>
  </si>
  <si>
    <t>https://www.true-markets.net/media/360tour/housing-bank/585-112/index.html</t>
  </si>
  <si>
    <t>https://maps.app.goo.gl/ha7yQqf6mJjpZvor5</t>
  </si>
  <si>
    <t xml:space="preserve">الشقة الشمالية الغربية من طابق التسوية الأولى عدا سطحها </t>
  </si>
  <si>
    <t xml:space="preserve">مقام على قطعة الارض بناء له واجهتين ونصف من الحجر مؤلف من 5 طوابق طابق التسوية خدمات بمساحة 53م2 والطابق الارضي 277م2 وطابق ثالث 277م2 وشقق عظم </t>
  </si>
  <si>
    <t>الشقة الشمالية من طابق الثاني بمساحة 95 م2 ويتبع لها الشقة الشمالية من الطابق الثالث مساحتها 95م2 عدا سطحها المعتبر خدمات مشتركة</t>
  </si>
  <si>
    <t>https://truemarkets3d.net/3d-virtual-tour/housingbank-realestate/phase3/aq-re-100536/index.html</t>
  </si>
  <si>
    <t>-copy-09242024_131939.jpg, -copy-09242024_132026.jpg, -copy-09242024_132125.jpg, -copy-09242024_132338.jpg, -copy-09242024_132654.jpg, -copy-09242024_133046.jpg, -copy-09242024_133120.jpg, -copy-09242024_133211.jpg, -copy-09242024_133318.jpg, -copy-09242024_133410.jpg, -copy-09242024_133500.jpg, -copy-09242024_133922.jpg, -copy-09242024_134020.jpg, -copy-09242024_134247.jpg, -copy-09242024_134336.jpg, -copy-09242024_134435.jpg, -copy-09242024_134658.jpg, -copy-09242024_134803.jpg, -copy-09242024_134953.jpg, -copy-09242024_134953.jpg</t>
  </si>
  <si>
    <t>https://maps.app.goo.gl/LPC5QooR1YJtXR6eA</t>
  </si>
  <si>
    <t>https://youtu.be/gbi_PajVXgo</t>
  </si>
  <si>
    <t xml:space="preserve">قطعة ارض  مساحتها 926م2 مقام عليها بناء تجاري عادي ضمن سكن أ يتالف من طابق تسوية مستودعات مساحتها 644م2 وطابق ارضي مخازن مساحتها 644م2 وطابق اول شقق مساحتها 306م2 _x000D_
</t>
  </si>
  <si>
    <t>https://truemarkets3d.net/3d-virtual-tour/housingbank-realestate/phase3/aq-bld-100596/index.html</t>
  </si>
  <si>
    <t>https://maps.app.goo.gl/ut7kx4iH4qQcehx6A</t>
  </si>
  <si>
    <t>"مساحة الأرض: 188 م2_x000D_
مساحة العقار الاجمالية : 248 م2_x000D_
عدد الطوابق : 2 (أرضي + اول)_x000D_
التنظيم: سكن د"</t>
  </si>
  <si>
    <t>https://maps.app.goo.gl/qJ2N4seNzMWjiszC6</t>
  </si>
  <si>
    <t xml:space="preserve">قطعة ارض غير منتظمة الشكل مساحتها 364.560م2 ومخدومه بشارع البناء المقام على قطعة الأرض بناء سكني من الاعمده والطوب المقصور ويتكون من طابق ارضي بمساحة 110م2 وغرفة مخزن مسقوفه زينكو بمساحة 15 م </t>
  </si>
  <si>
    <t xml:space="preserve">قطعة ارض بمساحة 555 م2_x000D_
</t>
  </si>
  <si>
    <t>https://maps.app.goo.gl/g8BmRrkiQN7cGfYK9</t>
  </si>
  <si>
    <t>مساحة القطعة 390.79 م2</t>
  </si>
  <si>
    <t xml:space="preserve">قطعة أرض مساحتها 530م2 مقام عليها بناء مساحته 400 م2 عدد الطوابق: 2 طوابق (تسوية + ارضي) </t>
  </si>
  <si>
    <t>https://truemarkets3d.net/3d-virtual-tour/housingbank-realestate/phase3/aq-bld-100472/index.html</t>
  </si>
  <si>
    <t>https://maps.app.goo.gl/kCTXZ2VJm3L2ca5e7</t>
  </si>
  <si>
    <t>"مساحة الأرض: 787 م2_x000D_
مساحة العقار الاجمالية : 634 م2_x000D_
التنظيم: سكن ب_x000D_
عدد الطوابق : 3 طوابق (تسوية + أرضي + اول)"</t>
  </si>
  <si>
    <t>https://maps.app.goo.gl/WFoG8B9wx1pYCBYw8</t>
  </si>
  <si>
    <t>مساحة القطعة 761.610 م2</t>
  </si>
  <si>
    <t>https://maps.app.goo.gl/coieZUwdi4zRHJkZ8</t>
  </si>
  <si>
    <t xml:space="preserve">قطعة ارض مقام عليها بناء مؤلف من طابق ارضي بمساحة 191 م2 وطابق اول بمساحة 191م2 ورووف _x000D_
</t>
  </si>
  <si>
    <t>https://maps.app.goo.gl/WvAi5SX7Mp81g2B66</t>
  </si>
  <si>
    <t>العقار القائم على قطعة الأرض مقام عليها بناء سكني مكون من طابق ارضي بمساحة 238م2 وطابق اول بمساحة 119م2  .</t>
  </si>
  <si>
    <t xml:space="preserve">قطعة  بمساحة 506م2 </t>
  </si>
  <si>
    <t>https://maps.app.goo.gl/tWyaDoSy31YBob8g6</t>
  </si>
  <si>
    <t xml:space="preserve">"مساحة الأرض: 1,176 م2_x000D_
مساحة العقار الاجمالية : 907 م2_x000D_
التنظيم: سكن ب_x000D_
عدد الطوابق : 3 طوابق (أرضي + اول + ثاني)_x000D_
"_x000D_
</t>
  </si>
  <si>
    <t>https://maps.app.goo.gl/BCCkCtzLbmBDR2Hv8</t>
  </si>
  <si>
    <t xml:space="preserve">قطعة ارض بمساحة 891 م2_x000D_
</t>
  </si>
  <si>
    <t>https://maps.app.goo.gl/BnLEFw21ewgdNhkTA</t>
  </si>
  <si>
    <t xml:space="preserve">ارض مساحتها - 771 م2 _x000D_
</t>
  </si>
  <si>
    <t>حنو السكه.jpeg</t>
  </si>
  <si>
    <t>https://maps.app.goo.gl/xWvhhPpLzNgGCCHT6</t>
  </si>
  <si>
    <t xml:space="preserve">ارض مساحتها - 754 م2 منظمة سكن ب_x000D_
</t>
  </si>
  <si>
    <t>AQ-LND-100425.jpeg, AQ-LND-100476.jpeg, حنو السكه.jpeg</t>
  </si>
  <si>
    <t>https://maps.app.goo.gl/Gtpt8xaACQYT3XueA</t>
  </si>
  <si>
    <t xml:space="preserve">قطعة أرض خالية من الأبنية  يوجد بها أشجار زيتون </t>
  </si>
  <si>
    <t xml:space="preserve">ارض مساحتها - 737 م2 _x000D_
</t>
  </si>
  <si>
    <t>https://maps.app.goo.gl/jYJ6GS7CYZLeL1ci8</t>
  </si>
  <si>
    <t xml:space="preserve">ارض مساحتها - 841 م2 _x000D_
</t>
  </si>
  <si>
    <t>https://maps.app.goo.gl/LjLqjmFroMsT1p427</t>
  </si>
  <si>
    <t xml:space="preserve">ارض مساحتها - 850 م2 _x000D_
</t>
  </si>
  <si>
    <t>https://maps.app.goo.gl/MnzGw7gXvVmfvBmLA</t>
  </si>
  <si>
    <t xml:space="preserve">قطعة ارض رقم 404 حوض المدوره 9 من اراضي شمال عمان </t>
  </si>
  <si>
    <t xml:space="preserve">قطعة ارض خاليا من الانشاءات </t>
  </si>
  <si>
    <t xml:space="preserve">ارض مساحتها - 884 م2 منظمة سكن ب_x000D_
</t>
  </si>
  <si>
    <t>https://maps.app.goo.gl/v9f3f9AzTj5z6k2M8</t>
  </si>
  <si>
    <t xml:space="preserve">قطعة ارض خاليا من الشواغل ارض عباره عن سليخ </t>
  </si>
  <si>
    <t xml:space="preserve">قطعة أرض مضلعة الشكل تقع في منطقة جبلية وواجهتها على الشارع م وبها مناسيب مختلف والقطعة محفورة _x000D_
</t>
  </si>
  <si>
    <t>AQ-LND-100452.jpeg</t>
  </si>
  <si>
    <t>https://maps.app.goo.gl/gqfMFVdFKwuCKU136</t>
  </si>
  <si>
    <t xml:space="preserve">قطعة ارض خالية من الابنية والانشاءات مساحتها - 802 م2 </t>
  </si>
  <si>
    <t>AQ-LND-100103.jpeg</t>
  </si>
  <si>
    <t>https://maps.app.goo.gl/YPSQLb655B6h7NoW7</t>
  </si>
  <si>
    <t xml:space="preserve">قطعة الارض خاليا من الانشاءات </t>
  </si>
  <si>
    <t xml:space="preserve">ارض مساحتها -1,322 م2 منظمة سكن د_x000D_
</t>
  </si>
  <si>
    <t>AQ-LND-100424.jpeg</t>
  </si>
  <si>
    <t>https://maps.app.goo.gl/WBUQqXA4gLND48kUA</t>
  </si>
  <si>
    <t>https://maps.app.goo.gl/jvgU1UXEWfvHr3Jj6</t>
  </si>
  <si>
    <t>https://maps.app.goo.gl/uLUMqwA51BwqkStM7</t>
  </si>
  <si>
    <t xml:space="preserve">قطة ارض خاليا من الانشاءات </t>
  </si>
  <si>
    <t>قطعة ارض خاليه من الانشاءات</t>
  </si>
  <si>
    <t xml:space="preserve">قطعة ارض خاليه من الانشاءات </t>
  </si>
  <si>
    <t>قطعة ارض خاليا من الانشاءات</t>
  </si>
  <si>
    <t xml:space="preserve">مكتب في شارع المدينة المنورة - حي التلاع الشمالي - قرب مستشفى ابن الهيثم_x000D_
</t>
  </si>
  <si>
    <t>https://truemarkets3d.net/3d-virtual-tour/housingbank-realestate/phase3/aq-re-100186/index.html</t>
  </si>
  <si>
    <t>-copy-09242024_164719.jpg, -copy-09242024_164835.jpg, -copy-09242024_164934.jpg, -copy-09242024_165034.jpg, -copy-09242024_165205.jpg, -copy-09242024_165251.jpg, -copy-09242024_165350.jpg, -copy-09242024_165543.jpg</t>
  </si>
  <si>
    <t>https://maps.app.goo.gl/QsRwMkUsu8fEteyQA</t>
  </si>
  <si>
    <t xml:space="preserve">الطابق الثاني عدا سطحه بمساحة 725م2   </t>
  </si>
  <si>
    <t xml:space="preserve">الشقة الغرببة من طابق الثاني عدا سطحها بمساحة 58م2 </t>
  </si>
  <si>
    <t xml:space="preserve">الشقة الشرقية من الطابق الأول عدا سطحها_x000D_
</t>
  </si>
  <si>
    <t>https://maps.app.goo.gl/NjZWGWM4gPdVSFy98</t>
  </si>
  <si>
    <t>الشقة الشمالية الوسطى من طابق الثاني عدا سطحها بمساحة 93 م2</t>
  </si>
  <si>
    <t>https://maps.app.goo.gl/wFsY2pvrwCUoWDti9</t>
  </si>
  <si>
    <t xml:space="preserve">الشقة الشمالية الغربية من طابق التسوية عدا سطخها_x000D_
</t>
  </si>
  <si>
    <t xml:space="preserve">الشقة الجنوبية الشرقية من الطابق الثاني عدا سطحها_x000D_
</t>
  </si>
  <si>
    <t>https://maps.app.goo.gl/c6KHWZSnGQShxnEK6</t>
  </si>
  <si>
    <t>https://maps.app.goo.gl/ysQrTwwWYW7k2JzN6</t>
  </si>
  <si>
    <t>الشقة الشرقية من الطابق الثاني عدا سطحها يتبع لها تراس مسقوف قرميد مساحته 17 م2</t>
  </si>
  <si>
    <t xml:space="preserve">الشقة الشمالية من طابق الارضي عدا سطحها </t>
  </si>
  <si>
    <t>قطعة الأرض مساحتها 5200.160م2 مقام ضمنها هناجر معدنية عدد اثنين متلاصقات بمساحة 2400م2 وكل هنجر مكون من ثلاثة مستودعات والهناجر محاطه بسور من الخرسانه المسلحة وجدران استنادية وغرفة حارس بمساحة 20م2 وساحات اسفلتيه بمساحة 2650م2  .</t>
  </si>
  <si>
    <t xml:space="preserve">"_x000D_
مساحة الشقة : 113 م2_x000D_
الشقة تقع في الطابق الاول (الشقة طابقية)"_x000D_
</t>
  </si>
  <si>
    <t>"مساحة الشقة : 139 م2_x000D_
الشقة في الطابق الثالث"</t>
  </si>
  <si>
    <t>https://maps.app.goo.gl/meVRxSaNbKiyizqX9</t>
  </si>
  <si>
    <t xml:space="preserve">مقام على قطعة الأرض بناء من الطوب والاعمده مؤلف من طابق ارضي بمساحة 208م2 </t>
  </si>
  <si>
    <t xml:space="preserve">قطعة الارض مستطيلة الشكل ومخدومه بشارع البناء من الدكه والطوب ويتكون من طابق ارضي بمساحة 125م2 البناء جيد وتشطيباته جيده </t>
  </si>
  <si>
    <t>https://maps.app.goo.gl/SFgYjmhyJRSYtJH27</t>
  </si>
  <si>
    <t xml:space="preserve">مساحة الأرض: 461.870 م2_x000D_
</t>
  </si>
  <si>
    <t>https://maps.app.goo.gl/uebFuZCtCmPZFAFX8</t>
  </si>
  <si>
    <t>مقام على حد القطعة الجنوبي بناء سكني اعمده وطوب بحال العضم مؤلف من طابق طابق ارضي مساحة 180م2 بحال العظم مسقوف ومقطع بالطوب من الداخل البناء مضى عليه 10 أعوام تقريبا.</t>
  </si>
  <si>
    <t>مساحة الأرض: 828 م2_x000D_
مساحة العقار الاجمالية : 250 م2_x000D_
التنظيم: سكن ج_x000D_
عدد الطوابق : 2 طوابق (تسوية + أرضي)</t>
  </si>
  <si>
    <t>https://maps.app.goo.gl/XmxnDKcjLE7m7iCQ6</t>
  </si>
  <si>
    <t xml:space="preserve">قطعة الارض مقام عليها بناء مكون من دكه الاسمنت والطوب ومطلع درج ومكون من طابق </t>
  </si>
  <si>
    <t xml:space="preserve">قطعة أرض مساحتها 288م2 مقام على القطعة بناء من الاعمدة والطوب مؤلف من طابقين ارضي وأول بمساحة 150م2 كل طابق والاعمال الخارجية تراس ضمن الجهه الجنوبية مسقوف يحدم البناء بيت درج خارجي_x000D_
</t>
  </si>
  <si>
    <t>"مساحة الأرض: 500 م2_x000D_
مساحة العقار الاجمالية : 335 م2_x000D_
التنظيم: سكن ج_x000D_
عدد الطوابق : 2 طوابق (تسوية + أرضي)"</t>
  </si>
  <si>
    <t>https://maps.app.goo.gl/pTtVtcYQptRE2XRWA</t>
  </si>
  <si>
    <t xml:space="preserve">مساحة 499 م2_x000D_
</t>
  </si>
  <si>
    <t>https://maps.app.goo.gl/tE56ws3842kuVrpd9</t>
  </si>
  <si>
    <t xml:space="preserve">"مساحة الأرض: 784 م2_x000D_
_x000D_
</t>
  </si>
  <si>
    <t>https://maps.app.goo.gl/1o3zMBuKWctgbPRN6</t>
  </si>
  <si>
    <t xml:space="preserve">الكرك - اراضي المزار الجنوبي - قرية الطيبة - حوض المشاريق 24 - مساحتها - 1,867.3 م2 لوحة 27 منظمة سكن ب_x000D_
</t>
  </si>
  <si>
    <t>AQ-LND-100542.jpeg</t>
  </si>
  <si>
    <t>https://maps.app.goo.gl/vgSJRETDMvEV6DU9A</t>
  </si>
  <si>
    <t xml:space="preserve">قطعة ارض خاليا من الابنية والانشاءات </t>
  </si>
  <si>
    <t xml:space="preserve">قطعة ارض مساحتها 231 م2 مقام عليها بناء من الاعمدة والطوب مؤلف من طابق ارضي بمساحة 175م2_x000D_
</t>
  </si>
  <si>
    <t>عقار بمساحة 110م2 مقام على قطعة رقم 381 مساحتها 512م2 حوض الجيش 4 / المرزرعة من اراضي الاغوار الجنوبية مساحة الارض 512م</t>
  </si>
  <si>
    <t>https://maps.app.goo.gl/DSq21ccX4bDdsCMf9</t>
  </si>
  <si>
    <t xml:space="preserve">قطعة أرض مساحتها 384م2  مقام عليها بناء ريفي بمساحة 106م2 </t>
  </si>
  <si>
    <t>https://maps.app.goo.gl/qYZVzkQWQxvbkaDu6</t>
  </si>
  <si>
    <t xml:space="preserve">قطعة ارض مساحتها 630 م2 مقام عليها بناء سكني مكون من طابق ارضي بمساحة 110م2_x000D_
</t>
  </si>
  <si>
    <t>https://maps.app.goo.gl/z5ujayfc7Y7kQ9Jd9</t>
  </si>
  <si>
    <t>"مساحة الأرض: 312 م2_x000D_
مساحة الأبنية الاجمالية : 1904 م2_x000D_
التنظيم: تجاري طولي ضمن سكن ج_x000D_
عدد الطوابق : 6"</t>
  </si>
  <si>
    <t>https://maps.app.goo.gl/HpwzmeKxKUEVLoYZ7</t>
  </si>
  <si>
    <t xml:space="preserve">مساحة القطعة 836م2 </t>
  </si>
  <si>
    <t xml:space="preserve">قطعة ارض مساحتها 1485.74م2 مقام عليها بناء من طابق ارضي مساحته 115 _x000D_
</t>
  </si>
  <si>
    <t>https://maps.app.goo.gl/rFUTyaqvDHACyK45A</t>
  </si>
  <si>
    <t xml:space="preserve">"شكل القطعة مستطيل تربتها حمراء تتوفر فيها جميع الخدمات وصالحة للزراعة"_x000D_
</t>
  </si>
  <si>
    <t>https://maps.app.goo.gl/UpXAnNYzm3PvHZLJ6</t>
  </si>
  <si>
    <t xml:space="preserve">قطعة ارض مقام على قطعة بناء سكني من الأعمدة والطوب المقصور مؤلف من طابق ارضي مساحة 200م2 عمر البناء 15 عام وقسم مضاف حديثا عام 2013 بعمر 10 أعوام تقريبا علما بانه لم يتمكن الخبير من الدخول للعقار . </t>
  </si>
  <si>
    <t>مساحة القطعة 500.240 م 2</t>
  </si>
  <si>
    <t>https://maps.app.goo.gl/dN865BrbXKDGjGUB7</t>
  </si>
  <si>
    <t>مساحة 338 م 2</t>
  </si>
  <si>
    <t>https://maps.app.goo.gl/AfnSgEKkf22T5P819</t>
  </si>
  <si>
    <t xml:space="preserve">مساحة الأرض: 3000 م2_x000D_
مساحة العقار الاجمالية : 400م2_x000D_
التنظيم: سكن ج_x000D_
عدد الطوابق : 2 طوابق (أرضي + اول) </t>
  </si>
  <si>
    <t xml:space="preserve">قطعة ارض مقام عليها بناء مكون من طابق تسوية وطابق اول_x000D_
</t>
  </si>
  <si>
    <t>https://maps.app.goo.gl/k355T1oootKL9wnWA</t>
  </si>
  <si>
    <t>مساحة القطعة 6283.970 م2</t>
  </si>
  <si>
    <t xml:space="preserve">قطعة ارض خاليا من الشواغل والارض عباره عن سليخ </t>
  </si>
  <si>
    <t xml:space="preserve">ارض مساحتها - 620.74 م2 م_x000D_
</t>
  </si>
  <si>
    <t>AQ-LND-100196.jpeg</t>
  </si>
  <si>
    <t>https://maps.app.goo.gl/dT6kJTV6k5NGPTyG9</t>
  </si>
  <si>
    <t xml:space="preserve"> قطعة الارض خاليا من الابنية والانشاءات </t>
  </si>
  <si>
    <t xml:space="preserve">قطعة الارض خاليا من الابنية ومنشئات </t>
  </si>
  <si>
    <t xml:space="preserve"> قطعة ارض خاليا من الابنية والانشاءات</t>
  </si>
  <si>
    <t xml:space="preserve">قطعة ارض سليخ  خاليا من الانشاءات </t>
  </si>
  <si>
    <t xml:space="preserve">المفرق - اراضي المفرق - قرية المفرق - حوض المفرق الجنوبي 4 - مساحتها - 1,364.64 م2 القطعة منتظمة الشكل واقعة على شارع و منظمة سكن ج ومخدومة بكافة الخدمات_x000D_
</t>
  </si>
  <si>
    <t>AQ-LND-100458.jpeg</t>
  </si>
  <si>
    <t>https://maps.app.goo.gl/K8zsdyQ4hX6ALtGE9</t>
  </si>
  <si>
    <t xml:space="preserve">قطعة ارض خاليا من الشواغل سليخ </t>
  </si>
  <si>
    <t xml:space="preserve">قطعة ارض خاليا من الانشاءات ارض سليخ </t>
  </si>
  <si>
    <t xml:space="preserve">قطعة ارض مساحتها 902.810 م2 وهي من النوع ملك ضمن حدود بلدية المفرق الكبرى عليها بناء سكني مساحة 133م2 </t>
  </si>
  <si>
    <t>https://maps.app.goo.gl/RFbjktinC4wAW5hL7</t>
  </si>
  <si>
    <t xml:space="preserve">الشقة الشمالية من الطابق الثالث عدا سطحها_x000D_
</t>
  </si>
  <si>
    <t xml:space="preserve">قطعة ارض مساحتها 2571م2 مقام عليها 3 ابنية بمساحة إجمالية 1193 م2 </t>
  </si>
  <si>
    <t>https://maps.app.goo.gl/xE3sXfjyUEiWQcwe9</t>
  </si>
  <si>
    <t xml:space="preserve">قطعة ارض خارج التنظيم مقام ضمنها بناء من الدكة عبارة عن تسوية عظم بمساحة 154م2 وطابق ارضي مشطب بمساحة 310 م2_x000D_
</t>
  </si>
  <si>
    <t xml:space="preserve">قطعة ارض مساحتها 650 م2 منتظمة الشكل ومخدومة بشارعين مقام على القطعة الارض بناء  من الاعمده والطوب ويتكون من طابق ارضي بمساحة 300م2 </t>
  </si>
  <si>
    <t>https://maps.app.goo.gl/TVq7WyBgkfJkvZHB6</t>
  </si>
  <si>
    <t>مساحة القطعة 730.650 م 2</t>
  </si>
  <si>
    <t xml:space="preserve">ارض مساحتها - 1,904 م2 _x000D_
</t>
  </si>
  <si>
    <t>https://www.true-markets.net/media/360tour/housing-bank/1602/index.html</t>
  </si>
  <si>
    <t>AQ-LND-100276.jpeg</t>
  </si>
  <si>
    <t>https://maps.app.goo.gl/KaBoiGDnFFndWYHSA</t>
  </si>
  <si>
    <t xml:space="preserve">قطعة ارض مقام عليها بناء مكون من اربع طوابق تسوية وارضي وأول وثاني_x000D_
</t>
  </si>
  <si>
    <t>https://maps.app.goo.gl/7HoWuNweyFZqUTVC8</t>
  </si>
  <si>
    <t>قطعة ارض مساحة 5945.910 م 2</t>
  </si>
  <si>
    <t>https://maps.app.goo.gl/pYfd6JHCkMS6CqcM9</t>
  </si>
  <si>
    <t>الشقة الشرقية من الطابق الثالث عدا سطحها</t>
  </si>
  <si>
    <t>https://maps.app.goo.gl/WkaV4oQ8B8teN9ky7</t>
  </si>
  <si>
    <t xml:space="preserve">مساحة 855 م2_x000D_
</t>
  </si>
  <si>
    <t>https://maps.app.goo.gl/zwdKSeXXDy4wGL3fA</t>
  </si>
  <si>
    <t>قطعة ارض خالية من الابنية والانشاءات مساحتها - 771 م2 تنظيم سكن ج</t>
  </si>
  <si>
    <t>AQ-LND-100584.jpeg</t>
  </si>
  <si>
    <t>https://maps.app.goo.gl/kNG5M5KvurE2uci67</t>
  </si>
  <si>
    <t>"مساحة الأرض: 67,551 م2_x000D_
مساحة البناء الاجمالية : 405 م2_x000D_
التنظيم: زراعي خارج التنظيم_x000D_
عدد الطوابق: 2 طوابق ( ارضي + اول)</t>
  </si>
  <si>
    <t>AQ-LND-100587.jpeg</t>
  </si>
  <si>
    <t>https://maps.app.goo.gl/xi3VCsRSXeZzB3a26</t>
  </si>
  <si>
    <t xml:space="preserve">مساحة الأرض: 799.35 م2_x000D_
مساحة البناء الاجمالية : 165 م2_x000D_
التنظيم: سكن شعبي متصل _x000D_
بناء سكن شعبي مكون من طابق واحد مساحته 165 م2 </t>
  </si>
  <si>
    <t>https://maps.app.goo.gl/53XE135Wgb8fsd6x9</t>
  </si>
  <si>
    <t>عدد 60 حصة من اصل 720 حصة من قطعة ارض من نوع ميري مساحتها الاجمالية 3920 م2 وهي خارج التنظيم</t>
  </si>
  <si>
    <t>AQ-LND-100658.jpeg</t>
  </si>
  <si>
    <t>https://maps.app.goo.gl/7bvp2wEWFm1ad4B98</t>
  </si>
  <si>
    <t>-</t>
  </si>
  <si>
    <t>https://hbtf.com/ar/new-realestate/AQ-RE-101104</t>
  </si>
  <si>
    <t>https://hbtf.com/ar/new-realestate/AQ-RE-101099</t>
  </si>
  <si>
    <t>https://hbtf.com/ar/new-realestate/AQ-RE-101110</t>
  </si>
  <si>
    <t>https://hbtf.com/ar/new-realestate/AQ-RE-101098</t>
  </si>
  <si>
    <t>https://hbtf.com/ar/new-realestate/AQ-RE-101100</t>
  </si>
  <si>
    <t>https://hbtf.com/ar/new-realestate/AQ-RE-101101</t>
  </si>
  <si>
    <t>https://hbtf.com/ar/new-realestate/AQ-RE-101111</t>
  </si>
  <si>
    <t>https://hbtf.com/ar/new-realestate/AQ-RE-100403</t>
  </si>
  <si>
    <t>https://hbtf.com/ar/new-realestate/AQ-RE-100464</t>
  </si>
  <si>
    <t>https://hbtf.com/ar/new-realestate/AQ-RE-100668</t>
  </si>
  <si>
    <t>https://hbtf.com/ar/new-realestate/AQ-RE-100380</t>
  </si>
  <si>
    <t>https://hbtf.com/ar/new-realestate/AQ-RE-100977</t>
  </si>
  <si>
    <t>https://hbtf.com/ar/new-realestate/AQ-RE-100865</t>
  </si>
  <si>
    <t>https://hbtf.com/ar/new-realestate/AQ-RE-101180</t>
  </si>
  <si>
    <t>https://hbtf.com/ar/new-realestate/AQ-RE-100399</t>
  </si>
  <si>
    <t>https://hbtf.com/ar/new-realestate/AQ-RE-100522</t>
  </si>
  <si>
    <t>https://hbtf.com/ar/new-realestate/AQ-RE-100863</t>
  </si>
  <si>
    <t>https://hbtf.com/ar/new-realestate/AQ-RE-100743</t>
  </si>
  <si>
    <t>https://hbtf.com/ar/new-realestate/AQ-RE-100091</t>
  </si>
  <si>
    <t>https://hbtf.com/ar/new-realestate/AQ-RE-100062</t>
  </si>
  <si>
    <t>https://hbtf.com/ar/new-realestate/AQ-RE-100984</t>
  </si>
  <si>
    <t>https://hbtf.com/ar/new-realestate/AQ-RE-100862</t>
  </si>
  <si>
    <t>https://hbtf.com/ar/new-realestate/AQ-RE-100915</t>
  </si>
  <si>
    <t>https://hbtf.com/ar/new-realestate/AQ-RE-100795</t>
  </si>
  <si>
    <t>https://hbtf.com/ar/new-realestate/AQ-RE-100864</t>
  </si>
  <si>
    <t>https://hbtf.com/ar/new-realestate/AQ-RE-100002</t>
  </si>
  <si>
    <t>https://hbtf.com/ar/new-realestate/AQ-RE-100069</t>
  </si>
  <si>
    <t>https://hbtf.com/ar/new-realestate/AQ-RE-100978</t>
  </si>
  <si>
    <t>https://hbtf.com/ar/new-realestate/AQ-RE-100479</t>
  </si>
  <si>
    <t>https://hbtf.com/ar/new-realestate/AQ-RE-100669</t>
  </si>
  <si>
    <t>https://hbtf.com/ar/new-realestate/AQ-RE-101120</t>
  </si>
  <si>
    <t>https://hbtf.com/ar/new-realestate/AQ-RE-100979</t>
  </si>
  <si>
    <t>https://hbtf.com/ar/new-realestate/AQ-RE-100265</t>
  </si>
  <si>
    <t>https://hbtf.com/ar/new-realestate/AQ-RE-100365</t>
  </si>
  <si>
    <t>https://hbtf.com/ar/new-realestate/AQ-RE-100107</t>
  </si>
  <si>
    <t>https://hbtf.com/ar/new-realestate/AQ-RE-100313</t>
  </si>
  <si>
    <t>https://hbtf.com/ar/new-realestate/AQ-RE-100343</t>
  </si>
  <si>
    <t>https://hbtf.com/ar/new-realestate/AQ-RE-101165</t>
  </si>
  <si>
    <t>https://hbtf.com/ar/new-realestate/AQ-RE-100457</t>
  </si>
  <si>
    <t>https://hbtf.com/ar/new-realestate/AQ-RE-100220</t>
  </si>
  <si>
    <t>https://hbtf.com/ar/new-realestate/AQ-RE-101125</t>
  </si>
  <si>
    <t>https://hbtf.com/ar/new-realestate/AQ-RE-100306</t>
  </si>
  <si>
    <t>https://hbtf.com/ar/new-realestate/AQ-RE-100032</t>
  </si>
  <si>
    <t>https://hbtf.com/ar/new-realestate/AQ-RE-101152</t>
  </si>
  <si>
    <t>https://hbtf.com/ar/new-realestate/AQ-RE-100296</t>
  </si>
  <si>
    <t>https://hbtf.com/ar/new-realestate/AQ-RE-100803</t>
  </si>
  <si>
    <t>https://hbtf.com/ar/new-realestate/AQ-RE-100015</t>
  </si>
  <si>
    <t>https://hbtf.com/ar/new-realestate/AQ-RE-101140</t>
  </si>
  <si>
    <t>https://hbtf.com/ar/new-realestate/AQ-RE-100341</t>
  </si>
  <si>
    <t>https://hbtf.com/ar/new-realestate/AQ-RE-100295</t>
  </si>
  <si>
    <t>https://hbtf.com/ar/new-realestate/AQ-RE-100661</t>
  </si>
  <si>
    <t>https://hbtf.com/ar/new-realestate/AQ-RE-100848</t>
  </si>
  <si>
    <t>https://hbtf.com/ar/new-realestate/AQ-RE-100001</t>
  </si>
  <si>
    <t>https://hbtf.com/ar/new-realestate/AQ-RE-100859</t>
  </si>
  <si>
    <t>https://hbtf.com/ar/new-realestate/AQ-BLD-100256</t>
  </si>
  <si>
    <t>https://hbtf.com/ar/new-realestate/AQ-BLD-100639</t>
  </si>
  <si>
    <t>https://hbtf.com/ar/new-realestate/AQ-BLD-100349</t>
  </si>
  <si>
    <t>https://hbtf.com/ar/new-realestate/AQ-BLD-100142</t>
  </si>
  <si>
    <t>https://hbtf.com/ar/new-realestate/AQ-BLD-100317</t>
  </si>
  <si>
    <t>https://hbtf.com/ar/new-realestate/AQ-BLD-100773</t>
  </si>
  <si>
    <t>https://hbtf.com/ar/new-realestate/AQ-BLD-100883</t>
  </si>
  <si>
    <t>https://hbtf.com/ar/new-realestate/AQ-BLD-100336</t>
  </si>
  <si>
    <t>https://hbtf.com/ar/new-realestate/AQ-BLD-100715</t>
  </si>
  <si>
    <t>https://hbtf.com/ar/new-realestate/AQ-BLD-100685</t>
  </si>
  <si>
    <t>https://hbtf.com/ar/new-realestate/AQ-BLD-100631</t>
  </si>
  <si>
    <t>https://hbtf.com/ar/new-realestate/AQ-BLD-100334</t>
  </si>
  <si>
    <t>https://hbtf.com/ar/new-realestate/AQ-BLD-100714</t>
  </si>
  <si>
    <t>https://hbtf.com/ar/new-realestate/AQ-BLD-101159</t>
  </si>
  <si>
    <t>https://hbtf.com/ar/new-realestate/AQ-BLD-100165</t>
  </si>
  <si>
    <t>https://hbtf.com/ar/new-realestate/AQ-BLD-100338</t>
  </si>
  <si>
    <t>https://hbtf.com/ar/new-realestate/AQ-BLD-100885</t>
  </si>
  <si>
    <t>https://hbtf.com/ar/new-realestate/AQ-BLD-100533</t>
  </si>
  <si>
    <t>https://hbtf.com/ar/new-realestate/AQ-BLD-100722</t>
  </si>
  <si>
    <t>https://hbtf.com/ar/new-realestate/AQ-BLD-100337</t>
  </si>
  <si>
    <t>https://hbtf.com/ar/new-realestate/AQ-BLD-100767</t>
  </si>
  <si>
    <t>https://hbtf.com/ar/new-realestate/AQ-BLD-100339</t>
  </si>
  <si>
    <t>https://hbtf.com/ar/new-realestate/AQ-BLD-100748</t>
  </si>
  <si>
    <t>https://hbtf.com/ar/new-realestate/AQ-BLD-101033</t>
  </si>
  <si>
    <t>https://hbtf.com/ar/new-realestate/AQ-BLD-100175</t>
  </si>
  <si>
    <t>https://hbtf.com/ar/new-realestate/AQ-BLD-101186</t>
  </si>
  <si>
    <t>https://hbtf.com/ar/new-realestate/AQ-BLD-100151</t>
  </si>
  <si>
    <t>https://hbtf.com/ar/new-realestate/AQ-LND-100109</t>
  </si>
  <si>
    <t>https://hbtf.com/ar/new-realestate/AQ-LND-100245</t>
  </si>
  <si>
    <t>https://hbtf.com/ar/new-realestate/AQ-LND-100246</t>
  </si>
  <si>
    <t>https://hbtf.com/ar/new-realestate/AQ-LND-101061</t>
  </si>
  <si>
    <t>https://hbtf.com/ar/new-realestate/AQ-LND-100227</t>
  </si>
  <si>
    <t>https://hbtf.com/ar/new-realestate/AQ-LND-100225</t>
  </si>
  <si>
    <t>https://hbtf.com/ar/new-realestate/AQ-BLD-100268</t>
  </si>
  <si>
    <t>https://hbtf.com/ar/new-realestate/AQ-BLD-100143</t>
  </si>
  <si>
    <t>https://hbtf.com/ar/new-realestate/AQ-BLD-100466</t>
  </si>
  <si>
    <t>https://hbtf.com/ar/new-realestate/AQ-RE-100656</t>
  </si>
  <si>
    <t>https://hbtf.com/ar/new-realestate/AQ-RE-100660</t>
  </si>
  <si>
    <t>https://hbtf.com/ar/new-realestate/AQ-RE-100572</t>
  </si>
  <si>
    <t>https://hbtf.com/ar/new-realestate/AQ-RE-100698</t>
  </si>
  <si>
    <t>https://hbtf.com/ar/new-realestate/AQ-RE-100105</t>
  </si>
  <si>
    <t>https://hbtf.com/ar/new-realestate/AQ-RE-100347</t>
  </si>
  <si>
    <t>https://hbtf.com/ar/new-realestate/AQ-RE-100012</t>
  </si>
  <si>
    <t>https://hbtf.com/ar/new-realestate/AQ-BLD-100488</t>
  </si>
  <si>
    <t>https://hbtf.com/ar/new-realestate/AQ-BLD-100329</t>
  </si>
  <si>
    <t>https://hbtf.com/ar/new-realestate/AQ-BLD-100152</t>
  </si>
  <si>
    <t>https://hbtf.com/ar/new-realestate/AQ-BLD-101242</t>
  </si>
  <si>
    <t>https://hbtf.com/ar/new-realestate/AQ-BLD-100954</t>
  </si>
  <si>
    <t>https://hbtf.com/ar/new-realestate/AQ-BLD-100846</t>
  </si>
  <si>
    <t>https://hbtf.com/ar/new-realestate/AQ-BLD-100913</t>
  </si>
  <si>
    <t>https://hbtf.com/ar/new-realestate/AQ-BLD-100153</t>
  </si>
  <si>
    <t>https://hbtf.com/ar/new-realestate/AQ-BLD-100291</t>
  </si>
  <si>
    <t>https://hbtf.com/ar/new-realestate/AQ-LND-100203</t>
  </si>
  <si>
    <t>https://hbtf.com/ar/new-realestate/AQ-LND-100205</t>
  </si>
  <si>
    <t>https://hbtf.com/ar/new-realestate/AQ-LND-100206</t>
  </si>
  <si>
    <t>https://hbtf.com/ar/new-realestate/AQ-LND-100134</t>
  </si>
  <si>
    <t>https://hbtf.com/ar/new-realestate/AQ-LND-100494</t>
  </si>
  <si>
    <t>https://hbtf.com/ar/new-realestate/AQ-LND-100199</t>
  </si>
  <si>
    <t>https://hbtf.com/ar/new-realestate/AQ-LND-100453</t>
  </si>
  <si>
    <t>https://hbtf.com/ar/new-realestate/AQ-RE-100663</t>
  </si>
  <si>
    <t>https://hbtf.com/ar/new-realestate/AQ-RE-100629</t>
  </si>
  <si>
    <t>https://hbtf.com/ar/new-realestate/AQ-RE-100110</t>
  </si>
  <si>
    <t>https://hbtf.com/ar/new-realestate/AQ-RE-100177</t>
  </si>
  <si>
    <t>https://hbtf.com/ar/new-realestate/AQ-RE-100489</t>
  </si>
  <si>
    <t>https://hbtf.com/ar/new-realestate/AQ-RE-100540</t>
  </si>
  <si>
    <t>https://hbtf.com/ar/new-realestate/AQ-RE-100630</t>
  </si>
  <si>
    <t>https://hbtf.com/ar/new-realestate/AQ-RE-100509</t>
  </si>
  <si>
    <t>https://hbtf.com/ar/new-realestate/AQ-RE-100469</t>
  </si>
  <si>
    <t>https://hbtf.com/ar/new-realestate/AQ-RE-100579</t>
  </si>
  <si>
    <t>https://hbtf.com/ar/new-realestate/AQ-RE-100515</t>
  </si>
  <si>
    <t>https://hbtf.com/ar/new-realestate/AQ-RE-100847</t>
  </si>
  <si>
    <t>https://hbtf.com/ar/new-realestate/AQ-RE-100914</t>
  </si>
  <si>
    <t>https://hbtf.com/ar/new-realestate/AQ-RE-100575</t>
  </si>
  <si>
    <t>https://hbtf.com/ar/new-realestate/AQ-RE-100135</t>
  </si>
  <si>
    <t>https://hbtf.com/ar/new-realestate/AQ-RE-100333</t>
  </si>
  <si>
    <t>https://hbtf.com/ar/new-realestate/AQ-RE-100351</t>
  </si>
  <si>
    <t>https://hbtf.com/ar/new-realestate/AQ-RE-100570</t>
  </si>
  <si>
    <t>https://hbtf.com/ar/new-realestate/AQ-RE-100026</t>
  </si>
  <si>
    <t>https://hbtf.com/ar/new-realestate/AQ-RE-100917</t>
  </si>
  <si>
    <t>https://hbtf.com/ar/new-realestate/AQ-RE-100957</t>
  </si>
  <si>
    <t>https://hbtf.com/ar/new-realestate/AQ-RE-100447</t>
  </si>
  <si>
    <t>https://hbtf.com/ar/new-realestate/AQ-RE-100277</t>
  </si>
  <si>
    <t>https://hbtf.com/ar/new-realestate/AQ-RE-100665</t>
  </si>
  <si>
    <t>https://hbtf.com/ar/new-realestate/AQ-RE-100918</t>
  </si>
  <si>
    <t>https://hbtf.com/ar/new-realestate/AQ-RE-101179</t>
  </si>
  <si>
    <t>https://hbtf.com/ar/new-realestate/AQ-RE-101181</t>
  </si>
  <si>
    <t>https://hbtf.com/ar/new-realestate/AQ-RE-100958</t>
  </si>
  <si>
    <t>https://hbtf.com/ar/new-realestate/AQ-RE-101138</t>
  </si>
  <si>
    <t>https://hbtf.com/ar/new-realestate/AQ-RE-101137</t>
  </si>
  <si>
    <t>https://hbtf.com/ar/new-realestate/AQ-RE-101160</t>
  </si>
  <si>
    <t>https://hbtf.com/ar/new-realestate/AQ-BLD-100916</t>
  </si>
  <si>
    <t>https://hbtf.com/ar/new-realestate/AQ-BLD-100747</t>
  </si>
  <si>
    <t>https://hbtf.com/ar/new-realestate/AQ-BLD-100517</t>
  </si>
  <si>
    <t>https://hbtf.com/ar/new-realestate/AQ-BLD-100960</t>
  </si>
  <si>
    <t>https://hbtf.com/ar/new-realestate/AQ-BLD-100641</t>
  </si>
  <si>
    <t>https://hbtf.com/ar/new-realestate/AQ-BLD-100986</t>
  </si>
  <si>
    <t>https://hbtf.com/ar/new-realestate/AQ-BLD-100577</t>
  </si>
  <si>
    <t>https://hbtf.com/ar/new-realestate/AQ-BLD-100880</t>
  </si>
  <si>
    <t>https://hbtf.com/ar/new-realestate/AQ-BLD-100820</t>
  </si>
  <si>
    <t>https://hbtf.com/ar/new-realestate/AQ-BLD-100096</t>
  </si>
  <si>
    <t>https://hbtf.com/ar/new-realestate/AQ-BLD-100526</t>
  </si>
  <si>
    <t>https://hbtf.com/ar/new-realestate/AQ-BLD-100279</t>
  </si>
  <si>
    <t>https://hbtf.com/ar/new-realestate/AQ-BLD-100204</t>
  </si>
  <si>
    <t>https://hbtf.com/ar/new-realestate/AQ-BLD-100912</t>
  </si>
  <si>
    <t>https://hbtf.com/ar/new-realestate/AQ-BLD-100420</t>
  </si>
  <si>
    <t>https://hbtf.com/ar/new-realestate/AQ-BLD-100236</t>
  </si>
  <si>
    <t>https://hbtf.com/ar/new-realestate/AQ-BLD-100046</t>
  </si>
  <si>
    <t>https://hbtf.com/ar/new-realestate/AQ-BLD-100144</t>
  </si>
  <si>
    <t>https://hbtf.com/ar/new-realestate/AQ-BLD-100119</t>
  </si>
  <si>
    <t>https://hbtf.com/ar/new-realestate/AQ-BLD-100158</t>
  </si>
  <si>
    <t>https://hbtf.com/ar/new-realestate/AQ-LND-100283</t>
  </si>
  <si>
    <t>https://hbtf.com/ar/new-realestate/AQ-LND-100287</t>
  </si>
  <si>
    <t>https://hbtf.com/ar/new-realestate/AQ-LND-100290</t>
  </si>
  <si>
    <t>https://hbtf.com/ar/new-realestate/AQ-LND-100074</t>
  </si>
  <si>
    <t>https://hbtf.com/ar/new-realestate/AQ-LND-100956</t>
  </si>
  <si>
    <t>https://hbtf.com/ar/new-realestate/AQ-LND-100547</t>
  </si>
  <si>
    <t>https://hbtf.com/ar/new-realestate/AQ-LND-100159</t>
  </si>
  <si>
    <t>https://hbtf.com/ar/new-realestate/AQ-LND-100140</t>
  </si>
  <si>
    <t>https://hbtf.com/ar/new-realestate/AQ-BLD-100562</t>
  </si>
  <si>
    <t>https://hbtf.com/ar/new-realestate/AQ-BLD-100518</t>
  </si>
  <si>
    <t>https://hbtf.com/ar/new-realestate/AQ-RE-100304</t>
  </si>
  <si>
    <t>https://hbtf.com/ar/new-realestate/AQ-RE-100823</t>
  </si>
  <si>
    <t>https://hbtf.com/ar/new-realestate/AQ-RE-100305</t>
  </si>
  <si>
    <t>https://hbtf.com/ar/new-realestate/AQ-RE-100311</t>
  </si>
  <si>
    <t>https://hbtf.com/ar/new-realestate/AQ-RE-100310</t>
  </si>
  <si>
    <t>https://hbtf.com/ar/new-realestate/AQ-BLD-100725</t>
  </si>
  <si>
    <t>https://hbtf.com/ar/new-realestate/AQ-BLD-100866</t>
  </si>
  <si>
    <t>https://hbtf.com/ar/new-realestate/AQ-BLD-100319</t>
  </si>
  <si>
    <t>https://hbtf.com/ar/new-realestate/AQ-LND-100450</t>
  </si>
  <si>
    <t>https://hbtf.com/ar/new-realestate/AQ-LND-100953</t>
  </si>
  <si>
    <t>https://hbtf.com/ar/new-realestate/AQ-LND-100459</t>
  </si>
  <si>
    <t>https://hbtf.com/ar/new-realestate/AQ-LND-100191</t>
  </si>
  <si>
    <t>https://hbtf.com/ar/new-realestate/AQ-LND-100462</t>
  </si>
  <si>
    <t>https://hbtf.com/ar/new-realestate/AQ-LND-100382</t>
  </si>
  <si>
    <t>https://hbtf.com/ar/new-realestate/AQ-LND-100221</t>
  </si>
  <si>
    <t>https://hbtf.com/ar/new-realestate/AQ-LND-100467</t>
  </si>
  <si>
    <t>https://hbtf.com/ar/new-realestate/AQ-RE-100776</t>
  </si>
  <si>
    <t>https://hbtf.com/ar/new-realestate/AQ-RE-100783</t>
  </si>
  <si>
    <t>https://hbtf.com/ar/new-realestate/AQ-RE-100784</t>
  </si>
  <si>
    <t>https://hbtf.com/ar/new-realestate/AQ-RE-100780</t>
  </si>
  <si>
    <t>https://hbtf.com/ar/new-realestate/AQ-RE-100779</t>
  </si>
  <si>
    <t>https://hbtf.com/ar/new-realestate/AQ-RE-100214</t>
  </si>
  <si>
    <t>https://hbtf.com/ar/new-realestate/AQ-RE-100785</t>
  </si>
  <si>
    <t>https://hbtf.com/ar/new-realestate/AQ-RE-100385</t>
  </si>
  <si>
    <t>https://hbtf.com/ar/new-realestate/AQ-RE-101042</t>
  </si>
  <si>
    <t>https://hbtf.com/ar/new-realestate/AQ-RE-101092</t>
  </si>
  <si>
    <t>https://hbtf.com/ar/new-realestate/AQ-RE-101038</t>
  </si>
  <si>
    <t>https://hbtf.com/ar/new-realestate/AQ-RE-100019</t>
  </si>
  <si>
    <t>https://hbtf.com/ar/new-realestate/AQ-RE-100267</t>
  </si>
  <si>
    <t>https://hbtf.com/ar/new-realestate/AQ-RE-100314</t>
  </si>
  <si>
    <t>https://hbtf.com/ar/new-realestate/AQ-RE-100102</t>
  </si>
  <si>
    <t>https://hbtf.com/ar/new-realestate/AQ-RE-100538</t>
  </si>
  <si>
    <t>https://hbtf.com/ar/new-realestate/AQ-RE-100117</t>
  </si>
  <si>
    <t>https://hbtf.com/ar/new-realestate/AQ-RE-100620</t>
  </si>
  <si>
    <t>https://hbtf.com/ar/new-realestate/AQ-RE-100619</t>
  </si>
  <si>
    <t>https://hbtf.com/ar/new-realestate/AQ-RE-100269</t>
  </si>
  <si>
    <t>https://hbtf.com/ar/new-realestate/AQ-RE-100366</t>
  </si>
  <si>
    <t>https://hbtf.com/ar/new-realestate/AQ-RE-100344</t>
  </si>
  <si>
    <t>https://hbtf.com/ar/new-realestate/AQ-RE-101041</t>
  </si>
  <si>
    <t>https://hbtf.com/ar/new-realestate/AQ-RE-100066</t>
  </si>
  <si>
    <t>https://hbtf.com/ar/new-realestate/AQ-RE-100514</t>
  </si>
  <si>
    <t>https://hbtf.com/ar/new-realestate/AQ-RE-100618</t>
  </si>
  <si>
    <t>https://hbtf.com/ar/new-realestate/AQ-RE-100616</t>
  </si>
  <si>
    <t>https://hbtf.com/ar/new-realestate/AQ-RE-100118</t>
  </si>
  <si>
    <t>https://hbtf.com/ar/new-realestate/AQ-RE-100539</t>
  </si>
  <si>
    <t>https://hbtf.com/ar/new-realestate/AQ-RE-101040</t>
  </si>
  <si>
    <t>https://hbtf.com/ar/new-realestate/AQ-RE-100480</t>
  </si>
  <si>
    <t>https://hbtf.com/ar/new-realestate/AQ-RE-100512</t>
  </si>
  <si>
    <t>https://hbtf.com/ar/new-realestate/AQ-RE-100201</t>
  </si>
  <si>
    <t>https://hbtf.com/ar/new-realestate/AQ-RE-100594</t>
  </si>
  <si>
    <t>https://hbtf.com/ar/new-realestate/AQ-RE-100286</t>
  </si>
  <si>
    <t>https://hbtf.com/ar/new-realestate/AQ-RE-100289</t>
  </si>
  <si>
    <t>https://hbtf.com/ar/new-realestate/AQ-RE-100860</t>
  </si>
  <si>
    <t>https://hbtf.com/ar/new-realestate/AQ-RE-100282</t>
  </si>
  <si>
    <t>https://hbtf.com/ar/new-realestate/AQ-RE-100278</t>
  </si>
  <si>
    <t>https://hbtf.com/ar/new-realestate/AQ-RE-100432</t>
  </si>
  <si>
    <t>https://hbtf.com/ar/new-realestate/AQ-RE-100667</t>
  </si>
  <si>
    <t>https://hbtf.com/ar/new-realestate/AQ-RE-100597</t>
  </si>
  <si>
    <t>https://hbtf.com/ar/new-realestate/AQ-RE-101133</t>
  </si>
  <si>
    <t>https://hbtf.com/ar/new-realestate/AQ-RE-100174</t>
  </si>
  <si>
    <t>https://hbtf.com/ar/new-realestate/AQ-RE-100323</t>
  </si>
  <si>
    <t>https://hbtf.com/ar/new-realestate/AQ-RE-101057</t>
  </si>
  <si>
    <t>https://hbtf.com/ar/new-realestate/AQ-RE-100133</t>
  </si>
  <si>
    <t>https://hbtf.com/ar/new-realestate/AQ-RE-100484</t>
  </si>
  <si>
    <t>https://hbtf.com/ar/new-realestate/AQ-RE-100384</t>
  </si>
  <si>
    <t>https://hbtf.com/ar/new-realestate/AQ-RE-100345</t>
  </si>
  <si>
    <t>https://hbtf.com/ar/new-realestate/AQ-RE-100444</t>
  </si>
  <si>
    <t>https://hbtf.com/ar/new-realestate/AQ-RE-100942</t>
  </si>
  <si>
    <t>https://hbtf.com/ar/new-realestate/AQ-RE-100184</t>
  </si>
  <si>
    <t>https://hbtf.com/ar/new-realestate/AQ-RE-100346</t>
  </si>
  <si>
    <t>https://hbtf.com/ar/new-realestate/AQ-RE-101124</t>
  </si>
  <si>
    <t>https://hbtf.com/ar/new-realestate/AQ-RE-100833</t>
  </si>
  <si>
    <t>https://hbtf.com/ar/new-realestate/AQ-RE-100831</t>
  </si>
  <si>
    <t>https://hbtf.com/ar/new-realestate/AQ-RE-100535</t>
  </si>
  <si>
    <t>https://hbtf.com/ar/new-realestate/AQ-RE-100027</t>
  </si>
  <si>
    <t>https://hbtf.com/ar/new-realestate/AQ-RE-100130</t>
  </si>
  <si>
    <t>https://hbtf.com/ar/new-realestate/AQ-RE-100146</t>
  </si>
  <si>
    <t>https://hbtf.com/ar/new-realestate/AQ-RE-101114</t>
  </si>
  <si>
    <t>https://hbtf.com/ar/new-realestate/AQ-RE-100157</t>
  </si>
  <si>
    <t>https://hbtf.com/ar/new-realestate/AQ-RE-100541</t>
  </si>
  <si>
    <t>https://hbtf.com/ar/new-realestate/AQ-RE-100827</t>
  </si>
  <si>
    <t>https://hbtf.com/ar/new-realestate/AQ-RE-100829</t>
  </si>
  <si>
    <t>https://hbtf.com/ar/new-realestate/AQ-RE-100824</t>
  </si>
  <si>
    <t>https://hbtf.com/ar/new-realestate/AQ-RE-100711</t>
  </si>
  <si>
    <t>https://hbtf.com/ar/new-realestate/AQ-RE-100014</t>
  </si>
  <si>
    <t>https://hbtf.com/ar/new-realestate/AQ-RE-100169</t>
  </si>
  <si>
    <t>https://hbtf.com/ar/new-realestate/AQ-RE-100675</t>
  </si>
  <si>
    <t>https://hbtf.com/ar/new-realestate/AQ-RE-100516</t>
  </si>
  <si>
    <t>https://hbtf.com/ar/new-realestate/AQ-RE-101024</t>
  </si>
  <si>
    <t>https://hbtf.com/ar/new-realestate/AQ-RE-100478</t>
  </si>
  <si>
    <t>https://hbtf.com/ar/new-realestate/AQ-RE-101130</t>
  </si>
  <si>
    <t>https://hbtf.com/ar/new-realestate/AQ-RE-100550</t>
  </si>
  <si>
    <t>https://hbtf.com/ar/new-realestate/AQ-RE-100492</t>
  </si>
  <si>
    <t>https://hbtf.com/ar/new-realestate/AQ-RE-100673</t>
  </si>
  <si>
    <t>https://hbtf.com/ar/new-realestate/AQ-RE-101056</t>
  </si>
  <si>
    <t>https://hbtf.com/ar/new-realestate/AQ-RE-101050</t>
  </si>
  <si>
    <t>https://hbtf.com/ar/new-realestate/AQ-RE-100832</t>
  </si>
  <si>
    <t>https://hbtf.com/ar/new-realestate/AQ-RE-101049</t>
  </si>
  <si>
    <t>https://hbtf.com/ar/new-realestate/AQ-RE-100433</t>
  </si>
  <si>
    <t>https://hbtf.com/ar/new-realestate/AQ-RE-100811</t>
  </si>
  <si>
    <t>https://hbtf.com/ar/new-realestate/AQ-RE-101134</t>
  </si>
  <si>
    <t>https://hbtf.com/ar/new-realestate/AQ-RE-100940</t>
  </si>
  <si>
    <t>https://hbtf.com/ar/new-realestate/AQ-RE-100936</t>
  </si>
  <si>
    <t>https://hbtf.com/ar/new-realestate/AQ-RE-101048</t>
  </si>
  <si>
    <t>https://hbtf.com/ar/new-realestate/AQ-RE-100182</t>
  </si>
  <si>
    <t>https://hbtf.com/ar/new-realestate/AQ-RE-101053</t>
  </si>
  <si>
    <t>https://hbtf.com/ar/new-realestate/AQ-RE-100830</t>
  </si>
  <si>
    <t>https://hbtf.com/ar/new-realestate/AQ-RE-101122</t>
  </si>
  <si>
    <t>https://hbtf.com/ar/new-realestate/AQ-RE-100549</t>
  </si>
  <si>
    <t>https://hbtf.com/ar/new-realestate/AQ-RE-100122</t>
  </si>
  <si>
    <t>https://hbtf.com/ar/new-realestate/AQ-RE-100039</t>
  </si>
  <si>
    <t>https://hbtf.com/ar/new-realestate/AQ-RE-101146</t>
  </si>
  <si>
    <t>https://hbtf.com/ar/new-realestate/AQ-RE-100634</t>
  </si>
  <si>
    <t>https://hbtf.com/ar/new-realestate/AQ-RE-101047</t>
  </si>
  <si>
    <t>https://hbtf.com/ar/new-realestate/AQ-RE-100123</t>
  </si>
  <si>
    <t>https://hbtf.com/ar/new-realestate/AQ-RE-100868</t>
  </si>
  <si>
    <t>https://hbtf.com/ar/new-realestate/AQ-RE-100826</t>
  </si>
  <si>
    <t>https://hbtf.com/ar/new-realestate/AQ-RE-100115</t>
  </si>
  <si>
    <t>https://hbtf.com/ar/new-realestate/AQ-RE-100828</t>
  </si>
  <si>
    <t>https://hbtf.com/ar/new-realestate/AQ-RE-101039</t>
  </si>
  <si>
    <t>https://hbtf.com/ar/new-realestate/AQ-RE-100632</t>
  </si>
  <si>
    <t>https://hbtf.com/ar/new-realestate/AQ-RE-101182</t>
  </si>
  <si>
    <t>https://hbtf.com/ar/new-realestate/AQ-RE-100825</t>
  </si>
  <si>
    <t>https://hbtf.com/ar/new-realestate/AQ-RE-101009</t>
  </si>
  <si>
    <t>https://hbtf.com/ar/new-realestate/AQ-RE-100869</t>
  </si>
  <si>
    <t>https://hbtf.com/ar/new-realestate/AQ-RE-100635</t>
  </si>
  <si>
    <t>https://hbtf.com/ar/new-realestate/AQ-RE-100870</t>
  </si>
  <si>
    <t>https://hbtf.com/ar/new-realestate/AQ-RE-101078</t>
  </si>
  <si>
    <t>https://hbtf.com/ar/new-realestate/AQ-RE-100921</t>
  </si>
  <si>
    <t>https://hbtf.com/ar/new-realestate/AQ-RE-100749</t>
  </si>
  <si>
    <t>https://hbtf.com/ar/new-realestate/AQ-RE-100886</t>
  </si>
  <si>
    <t>https://hbtf.com/ar/new-realestate/AQ-RE-101095</t>
  </si>
  <si>
    <t>https://hbtf.com/ar/new-realestate/AQ-RE-100326</t>
  </si>
  <si>
    <t>https://hbtf.com/ar/new-realestate/AQ-RE-100113</t>
  </si>
  <si>
    <t>https://hbtf.com/ar/new-realestate/AQ-RE-100521</t>
  </si>
  <si>
    <t>https://hbtf.com/ar/new-realestate/AQ-RE-100499</t>
  </si>
  <si>
    <t>https://hbtf.com/ar/new-realestate/AQ-RE-101001</t>
  </si>
  <si>
    <t>https://hbtf.com/ar/new-realestate/AQ-RE-100565</t>
  </si>
  <si>
    <t>https://hbtf.com/ar/new-realestate/AQ-RE-101197</t>
  </si>
  <si>
    <t>https://hbtf.com/ar/new-realestate/AQ-RE-100028</t>
  </si>
  <si>
    <t>https://hbtf.com/ar/new-realestate/AQ-RE-100404</t>
  </si>
  <si>
    <t>https://hbtf.com/ar/new-realestate/AQ-RE-100257</t>
  </si>
  <si>
    <t>https://hbtf.com/ar/new-realestate/AQ-RE-100100</t>
  </si>
  <si>
    <t>https://hbtf.com/ar/new-realestate/AQ-RE-101008</t>
  </si>
  <si>
    <t>https://hbtf.com/ar/new-realestate/AQ-RE-101058</t>
  </si>
  <si>
    <t>https://hbtf.com/ar/new-realestate/AQ-RE-100536</t>
  </si>
  <si>
    <t>https://hbtf.com/ar/new-realestate/AQ-BLD-100596</t>
  </si>
  <si>
    <t>https://hbtf.com/ar/new-realestate/AQ-BLD-100162</t>
  </si>
  <si>
    <t>https://hbtf.com/ar/new-realestate/AQ-BLD-100946</t>
  </si>
  <si>
    <t>https://hbtf.com/ar/new-realestate/AQ-BLD-100756</t>
  </si>
  <si>
    <t>https://hbtf.com/ar/new-realestate/AQ-BLD-101060</t>
  </si>
  <si>
    <t>https://hbtf.com/ar/new-realestate/AQ-BLD-100472</t>
  </si>
  <si>
    <t>https://hbtf.com/ar/new-realestate/AQ-BLD-100068</t>
  </si>
  <si>
    <t>https://hbtf.com/ar/new-realestate/AQ-BLD-100563</t>
  </si>
  <si>
    <t>https://hbtf.com/ar/new-realestate/AQ-BLD-100531</t>
  </si>
  <si>
    <t>https://hbtf.com/ar/new-realestate/AQ-BLD-101018</t>
  </si>
  <si>
    <t>https://hbtf.com/ar/new-realestate/AQ-BLD-100839</t>
  </si>
  <si>
    <t>https://hbtf.com/ar/new-realestate/AQ-BLD-100095</t>
  </si>
  <si>
    <t>https://hbtf.com/ar/new-realestate/AQ-BLD-100741</t>
  </si>
  <si>
    <t>https://hbtf.com/ar/new-realestate/AQ-LND-100413</t>
  </si>
  <si>
    <t>https://hbtf.com/ar/new-realestate/AQ-LND-100476</t>
  </si>
  <si>
    <t>https://hbtf.com/ar/new-realestate/AQ-LND-101037</t>
  </si>
  <si>
    <t>https://hbtf.com/ar/new-realestate/AQ-LND-100419</t>
  </si>
  <si>
    <t>https://hbtf.com/ar/new-realestate/AQ-LND-100421</t>
  </si>
  <si>
    <t>https://hbtf.com/ar/new-realestate/AQ-LND-100417</t>
  </si>
  <si>
    <t>https://hbtf.com/ar/new-realestate/AQ-LND-101032</t>
  </si>
  <si>
    <t>https://hbtf.com/ar/new-realestate/AQ-LND-101302</t>
  </si>
  <si>
    <t>https://hbtf.com/ar/new-realestate/AQ-LND-100425</t>
  </si>
  <si>
    <t>https://hbtf.com/ar/new-realestate/AQ-LND-101093</t>
  </si>
  <si>
    <t>https://hbtf.com/ar/new-realestate/AQ-LND-100452</t>
  </si>
  <si>
    <t>https://hbtf.com/ar/new-realestate/AQ-LND-101291</t>
  </si>
  <si>
    <t>https://hbtf.com/ar/new-realestate/AQ-LND-101290</t>
  </si>
  <si>
    <t>https://hbtf.com/ar/new-realestate/AQ-LND-101288</t>
  </si>
  <si>
    <t>https://hbtf.com/ar/new-realestate/AQ-LND-101287</t>
  </si>
  <si>
    <t>https://hbtf.com/ar/new-realestate/AQ-LND-101289</t>
  </si>
  <si>
    <t>https://hbtf.com/ar/new-realestate/AQ-LND-101295</t>
  </si>
  <si>
    <t>https://hbtf.com/ar/new-realestate/AQ-LND-101293</t>
  </si>
  <si>
    <t>https://hbtf.com/ar/new-realestate/AQ-LND-101294</t>
  </si>
  <si>
    <t>https://hbtf.com/ar/new-realestate/AQ-LND-101292</t>
  </si>
  <si>
    <t>https://hbtf.com/ar/new-realestate/AQ-LND-101296</t>
  </si>
  <si>
    <t>https://hbtf.com/ar/new-realestate/AQ-LND-100103</t>
  </si>
  <si>
    <t>https://hbtf.com/ar/new-realestate/AQ-LND-101301</t>
  </si>
  <si>
    <t>https://hbtf.com/ar/new-realestate/AQ-LND-100424</t>
  </si>
  <si>
    <t>https://hbtf.com/ar/new-realestate/AQ-LND-101285</t>
  </si>
  <si>
    <t>https://hbtf.com/ar/new-realestate/AQ-LND-101275</t>
  </si>
  <si>
    <t>https://hbtf.com/ar/new-realestate/AQ-LND-101281</t>
  </si>
  <si>
    <t>https://hbtf.com/ar/new-realestate/AQ-LND-101283</t>
  </si>
  <si>
    <t>https://hbtf.com/ar/new-realestate/AQ-LND-101280</t>
  </si>
  <si>
    <t>https://hbtf.com/ar/new-realestate/AQ-LND-101277</t>
  </si>
  <si>
    <t>https://hbtf.com/ar/new-realestate/AQ-LND-101273</t>
  </si>
  <si>
    <t>https://hbtf.com/ar/new-realestate/AQ-LND-101286</t>
  </si>
  <si>
    <t>https://hbtf.com/ar/new-realestate/AQ-LND-101284</t>
  </si>
  <si>
    <t>https://hbtf.com/ar/new-realestate/AQ-LND-101278</t>
  </si>
  <si>
    <t>https://hbtf.com/ar/new-realestate/AQ-LND-101271</t>
  </si>
  <si>
    <t>https://hbtf.com/ar/new-realestate/AQ-LND-101282</t>
  </si>
  <si>
    <t>https://hbtf.com/ar/new-realestate/AQ-LND-101279</t>
  </si>
  <si>
    <t>https://hbtf.com/ar/new-realestate/AQ-LND-101274</t>
  </si>
  <si>
    <t>https://hbtf.com/ar/new-realestate/AQ-LND-101276</t>
  </si>
  <si>
    <t>https://hbtf.com/ar/new-realestate/AQ-LND-101300</t>
  </si>
  <si>
    <t>https://hbtf.com/ar/new-realestate/AQ-LND-101298</t>
  </si>
  <si>
    <t>https://hbtf.com/ar/new-realestate/AQ-RE-100186</t>
  </si>
  <si>
    <t>https://hbtf.com/ar/new-realestate/AQ-RE-101003</t>
  </si>
  <si>
    <t>https://hbtf.com/ar/new-realestate/AQ-RE-101330</t>
  </si>
  <si>
    <t>https://hbtf.com/ar/new-realestate/AQ-RE-100637</t>
  </si>
  <si>
    <t>https://hbtf.com/ar/new-realestate/AQ-RE-100093</t>
  </si>
  <si>
    <t>https://hbtf.com/ar/new-realestate/AQ-RE-100368</t>
  </si>
  <si>
    <t>https://hbtf.com/ar/new-realestate/AQ-RE-100650</t>
  </si>
  <si>
    <t>https://hbtf.com/ar/new-realestate/AQ-RE-100640</t>
  </si>
  <si>
    <t>https://hbtf.com/ar/new-realestate/AQ-RE-101089</t>
  </si>
  <si>
    <t>https://hbtf.com/ar/new-realestate/AQ-RE-101073</t>
  </si>
  <si>
    <t>https://hbtf.com/ar/new-realestate/AQ-BLD-100962</t>
  </si>
  <si>
    <t>https://hbtf.com/ar/new-realestate/AQ-RE-100255</t>
  </si>
  <si>
    <t>https://hbtf.com/ar/new-realestate/AQ-RE-100121</t>
  </si>
  <si>
    <t>https://hbtf.com/ar/new-realestate/AQ-RE-101005</t>
  </si>
  <si>
    <t>https://hbtf.com/ar/new-realestate/AQ-BLD-100890</t>
  </si>
  <si>
    <t>https://hbtf.com/ar/new-realestate/AQ-BLD-100297</t>
  </si>
  <si>
    <t>https://hbtf.com/ar/new-realestate/AQ-BLD-100990</t>
  </si>
  <si>
    <t>https://hbtf.com/ar/new-realestate/AQ-BLD-100029</t>
  </si>
  <si>
    <t>https://hbtf.com/ar/new-realestate/AQ-BLD-101011</t>
  </si>
  <si>
    <t>https://hbtf.com/ar/new-realestate/AQ-BLD-100372</t>
  </si>
  <si>
    <t>https://hbtf.com/ar/new-realestate/AQ-BLD-100167</t>
  </si>
  <si>
    <t>https://hbtf.com/ar/new-realestate/AQ-BLD-100674</t>
  </si>
  <si>
    <t>https://hbtf.com/ar/new-realestate/AQ-BLD-100187</t>
  </si>
  <si>
    <t>https://hbtf.com/ar/new-realestate/AQ-LND-100542</t>
  </si>
  <si>
    <t>https://hbtf.com/ar/new-realestate/AQ-LND-101013</t>
  </si>
  <si>
    <t>https://hbtf.com/ar/new-realestate/AQ-BLD-100702</t>
  </si>
  <si>
    <t>https://hbtf.com/ar/new-realestate/AQ-BLD-100694</t>
  </si>
  <si>
    <t>https://hbtf.com/ar/new-realestate/AQ-BLD-100150</t>
  </si>
  <si>
    <t>https://hbtf.com/ar/new-realestate/AQ-BLD-100670</t>
  </si>
  <si>
    <t>https://hbtf.com/ar/new-realestate/AQ-BLD-100148</t>
  </si>
  <si>
    <t>https://hbtf.com/ar/new-realestate/AQ-BLD-101084</t>
  </si>
  <si>
    <t>https://hbtf.com/ar/new-realestate/AQ-BLD-100435</t>
  </si>
  <si>
    <t>https://hbtf.com/ar/new-realestate/AQ-BLD-100506</t>
  </si>
  <si>
    <t>https://hbtf.com/ar/new-realestate/AQ-BLD-100819</t>
  </si>
  <si>
    <t>https://hbtf.com/ar/new-realestate/AQ-BLD-100664</t>
  </si>
  <si>
    <t>https://hbtf.com/ar/new-realestate/AQ-BLD-100523</t>
  </si>
  <si>
    <t>https://hbtf.com/ar/new-realestate/AQ-BLD-100055</t>
  </si>
  <si>
    <t>https://hbtf.com/ar/new-realestate/AQ-BLD-100601</t>
  </si>
  <si>
    <t>https://hbtf.com/ar/new-realestate/AQ-BLD-101079</t>
  </si>
  <si>
    <t>https://hbtf.com/ar/new-realestate/AQ-LND-101069</t>
  </si>
  <si>
    <t>https://hbtf.com/ar/new-realestate/AQ-LND-100196</t>
  </si>
  <si>
    <t>https://hbtf.com/ar/new-realestate/AQ-LND-101017</t>
  </si>
  <si>
    <t>https://hbtf.com/ar/new-realestate/AQ-LND-101014</t>
  </si>
  <si>
    <t>https://hbtf.com/ar/new-realestate/AQ-LND-101015</t>
  </si>
  <si>
    <t>https://hbtf.com/ar/new-realestate/AQ-LND-101066</t>
  </si>
  <si>
    <t>https://hbtf.com/ar/new-realestate/AQ-LND-101016</t>
  </si>
  <si>
    <t>https://hbtf.com/ar/new-realestate/AQ-LND-100458</t>
  </si>
  <si>
    <t>https://hbtf.com/ar/new-realestate/AQ-LND-101068</t>
  </si>
  <si>
    <t>https://hbtf.com/ar/new-realestate/AQ-LND-101067</t>
  </si>
  <si>
    <t>https://hbtf.com/ar/new-realestate/AQ-BLD-100106</t>
  </si>
  <si>
    <t>https://hbtf.com/ar/new-realestate/AQ-RE-100373</t>
  </si>
  <si>
    <t>https://hbtf.com/ar/new-realestate/AQ-BLD-100163</t>
  </si>
  <si>
    <t>https://hbtf.com/ar/new-realestate/AQ-BLD-100320</t>
  </si>
  <si>
    <t>https://hbtf.com/ar/new-realestate/AQ-BLD-100867</t>
  </si>
  <si>
    <t>https://hbtf.com/ar/new-realestate/AQ-BLD-101090</t>
  </si>
  <si>
    <t>https://hbtf.com/ar/new-realestate/AQ-LND-100276</t>
  </si>
  <si>
    <t>https://hbtf.com/ar/new-realestate/AQ-BLD-100730</t>
  </si>
  <si>
    <t>https://hbtf.com/ar/new-realestate/AQ-LND-100222</t>
  </si>
  <si>
    <t>https://hbtf.com/ar/new-realestate/AQ-RE-101075</t>
  </si>
  <si>
    <t>https://hbtf.com/ar/new-realestate/AQ-RE-100534</t>
  </si>
  <si>
    <t>https://hbtf.com/ar/new-realestate/AQ-BLD-100548</t>
  </si>
  <si>
    <t>https://hbtf.com/ar/new-realestate/AQ-LND-100584</t>
  </si>
  <si>
    <t>https://hbtf.com/ar/new-realestate/AQ-LND-100587</t>
  </si>
  <si>
    <t>https://hbtf.com/ar/new-realestate/AQ-BLD-100094</t>
  </si>
  <si>
    <t>https://hbtf.com/ar/new-realestate/AQ-LND-100658</t>
  </si>
  <si>
    <t>تفاصيل إضافية</t>
  </si>
  <si>
    <t>تاريخ الكشف</t>
  </si>
  <si>
    <t xml:space="preserve">مخزن طابق تسوية في محافظة اربد منطقة شارع الهاشمي التنظيم تجاري معارض بمساحة 28 م2
</t>
  </si>
  <si>
    <t xml:space="preserve">مخزن طابق ارضي في محافظة اربد منطقة شارع الهاشمي التنظيم تجاري معارض بمساحة 20 م2
</t>
  </si>
  <si>
    <t xml:space="preserve">مخزن طابق تسوية في محافظة اربد منطقة شارع الهاشمي التنظيم تجاري معارض بمساحة 30 م2
</t>
  </si>
  <si>
    <t xml:space="preserve">مخزن طابق ارضي في محافظة اربد منطقة شارع الهاشمي التنظيم تجاري معارض بمساحة 45 م2
</t>
  </si>
  <si>
    <t xml:space="preserve">شقة طابق ثالث مساحة 153 م2 في محافظة اربد منطقة دير أبي سعيد تنظيم سكني د
</t>
  </si>
  <si>
    <t xml:space="preserve">شقة طابق تسوية مساحة 87 م2 في محافظة اربد منطقة البارحة تنظيم سكني ج
</t>
  </si>
  <si>
    <t xml:space="preserve">شقة طابق تسوية مساحة 110 م2 في محافظة اربد منطقة البارحة تنظيم سكني د
</t>
  </si>
  <si>
    <t>محافظة معان - أراضي معان - قرية الشراه الجنوبية
عدد 60 حصة من اصل 720 حصة من قطعة ارض من نوع ميري مساحتها الاجمالية 3920 م2 وتبلغ الحصص ما يقارب 327 م2 وهي خارج التنظيم ومخدومة بالكهرباء والمياه تقع على طريق العقبة الرئيسي ضمن مشروع القاسمية (مزارع التفاح) وتنخفض عن مستوى الطريق وجزء منها مزروع بأشجار التفاح ومحاطة بالشجر الحرجي من الامام</t>
  </si>
  <si>
    <t xml:space="preserve">شقة طابق ثاني مع سطح في محافظة اربد التنظيم سكني ب بمساحة 71 م2
</t>
  </si>
  <si>
    <t xml:space="preserve">شقة طابق ثاني مساحة 87 م2 في محافظة اربد منطقة بيت راس تنظيم سكني د
</t>
  </si>
  <si>
    <t xml:space="preserve">شقة تسوية في محافظة اربد منطقة المشارع التنظيم سكني ضمن تجاري بمساحة 190 م2
</t>
  </si>
  <si>
    <t>مساحة الأرض: 417 م2
التنظيم: سكن د
قطعة الارض من نوع ملك ومثلثة الشكل ويحدها شارع 10 م من الواجهة الغربية وشارع 6 م من الواجهة الشرقية وغير مفتوح وشارع 10 م من الواجهة الشمالية مفتوح ومعبد
بيانات اضافية: يوجد على القطعة بعض من اشجار الزيتون
الموقع: اربد - بلدية خالد بن الوليد - بالقرب مدرسة المخيبة التحت الثانوية للبنين - شارع البساتين</t>
  </si>
  <si>
    <t>قطعة ارض سليخ من نوع ملك و مساحنها 903 م2 و منتظمة الشكل وخالية من الانشاءات والابنية وهي داخل التنظيم وتنظيمها سكن ج تقع ضمن حدود بلدية غرب اربد الكبرى - منطقة بيت يافا ويحدها شارع 10 متر على طول واجهتها الشرقية غير مفتوح وتميل ميلا خفيفا من الشمال الى الجنوب ومتوفر كافة الخدمات
منطقة بيت يافا - شارع اربد الكورة - قرب مسجد خليل الرحمن</t>
  </si>
  <si>
    <t>قطعة ارض سليخ من نوع ملك و مساحنها 1419 م2 و منتظمة الشكل وخالية من الانشاءات والابنية وهي داخل التنظيم وتنظيمها سكن ج تقع ضمن حدود بلدية غرب اربد الكبرى - منطقة بيت يافا ويحدها شارع 16 متر على ول واجهتها الشمالية قسم منه مفتوح ومعبد ومتوفر كافة الخدمات
منطقة بيت يافا - شارع اربد الكورة - قرب مسجد خليل الرحمن</t>
  </si>
  <si>
    <t xml:space="preserve">قطعة ارض في محافظة اربد منطقة البلد التنظيم سكني ب مساحة الأرض 809.280 م2
</t>
  </si>
  <si>
    <t>هذا الكشف يتضمن عقارات بنك الإسكان كما هي بتاريخ 09-06-2026 وللاطلاع على عقارات بنك الإسكان محدثة أولا بأول يرجى زيارة موقع البنك الالكتروني
https://hbtf.com/ar/new-realestate</t>
  </si>
  <si>
    <t>"عقار سكني في المفرق - تنظيمه سكن د
مساحة الأرض 338 م2 ومساحة العقار الاجمالية 390 م2 
مؤلف من 3 طوابق ( أرضي + اول + ثاني )
مساحة كل طابق 130 متر
المفرق - الحي الشمالي - جنوب غرب مسجد التوبة"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</si>
</sst>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0"/>
      <name val="Arial"/>
      <family val="2"/>
    </font>
    <font>
      <sz val="11"/>
      <color theme="1"/>
      <name val="Calibri"/>
      <family val="2"/>
      <scheme val="minor"/>
    </font>
    <font>
      <b/>
      <sz val="9"/>
      <color theme="1"/>
      <name val="Alexandria"/>
    </font>
    <font>
      <sz val="9"/>
      <color theme="1"/>
      <name val="Alexandria"/>
    </font>
    <font>
      <b/>
      <sz val="11"/>
      <color rgb="FF0070C0"/>
      <name val="Alexandria"/>
    </font>
    <font>
      <sz val="9"/>
      <color rgb="FF0070C0"/>
      <name val="Alexandria"/>
    </font>
    <font>
      <u/>
      <sz val="9"/>
      <color rgb="FF0070C0"/>
      <name val="Alexandria"/>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s>
  <cellStyleXfs count="4">
    <xf numFmtId="0" fontId="0" fillId="0" borderId="0"/>
    <xf numFmtId="0" fontId="1" fillId="0" borderId="0" applyNumberFormat="0" applyFill="0" applyBorder="0" applyAlignment="0" applyProtection="0"/>
    <xf numFmtId="0" fontId="3" fillId="0" borderId="0"/>
    <xf numFmtId="0" fontId="2" fillId="0" borderId="0"/>
  </cellStyleXfs>
  <cellXfs count="25">
    <xf numFmtId="0" fontId="0" fillId="0" borderId="0" xfId="0"/>
    <xf numFmtId="14" fontId="0" fillId="0" borderId="0" xfId="0" applyNumberFormat="1"/>
    <xf numFmtId="0" fontId="5" fillId="0" borderId="0" xfId="0" applyFont="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8" fillId="0" borderId="7" xfId="1" applyFont="1" applyBorder="1" applyAlignment="1" applyProtection="1">
      <alignment horizontal="center" vertical="center" wrapText="1"/>
      <protection locked="0"/>
    </xf>
    <xf numFmtId="0" fontId="8" fillId="0" borderId="5"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0" fillId="0" borderId="0" xfId="0"/>
    <xf numFmtId="0" fontId="5"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5" fillId="0" borderId="0" xfId="0" applyFont="1" applyAlignment="1" applyProtection="1">
      <alignment horizontal="center" vertical="center" wrapText="1"/>
    </xf>
    <xf numFmtId="2" fontId="4" fillId="2" borderId="1" xfId="0" applyNumberFormat="1" applyFont="1" applyFill="1" applyBorder="1" applyAlignment="1" applyProtection="1">
      <alignment horizontal="center" vertical="center" wrapText="1"/>
    </xf>
    <xf numFmtId="2" fontId="4" fillId="0" borderId="2" xfId="0" applyNumberFormat="1" applyFont="1" applyBorder="1" applyAlignment="1" applyProtection="1">
      <alignment horizontal="center" vertical="center" wrapText="1"/>
    </xf>
    <xf numFmtId="2" fontId="4" fillId="3" borderId="10" xfId="0" applyNumberFormat="1" applyFont="1" applyFill="1" applyBorder="1" applyAlignment="1" applyProtection="1">
      <alignment horizontal="center" vertical="center" wrapText="1"/>
    </xf>
    <xf numFmtId="2" fontId="4" fillId="3" borderId="0" xfId="0" applyNumberFormat="1" applyFont="1" applyFill="1" applyAlignment="1" applyProtection="1">
      <alignment horizontal="center" vertical="center" wrapText="1"/>
    </xf>
    <xf numFmtId="0" fontId="1" fillId="0" borderId="6" xfId="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btf.com/ar/new-realestate/AQ-LND-1001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2"/>
  <sheetViews>
    <sheetView rightToLeft="1" tabSelected="1" topLeftCell="E1" zoomScaleNormal="100" workbookViewId="0">
      <pane ySplit="2" topLeftCell="A422" activePane="bottomLeft" state="frozen"/>
      <selection pane="bottomLeft" activeCell="G422" sqref="G422"/>
    </sheetView>
  </sheetViews>
  <sheetFormatPr defaultColWidth="9.109375" defaultRowHeight="16.8" x14ac:dyDescent="0.3"/>
  <cols>
    <col min="1" max="1" width="17.6640625" style="2" customWidth="1"/>
    <col min="2" max="2" width="17.33203125" style="2" customWidth="1"/>
    <col min="3" max="3" width="13.44140625" style="2" bestFit="1" customWidth="1"/>
    <col min="4" max="4" width="14.6640625" style="2" bestFit="1" customWidth="1"/>
    <col min="5" max="5" width="18.77734375" style="2" bestFit="1" customWidth="1"/>
    <col min="6" max="6" width="17.109375" style="2" customWidth="1"/>
    <col min="7" max="7" width="16.6640625" style="2" customWidth="1"/>
    <col min="8" max="8" width="14.33203125" style="2" bestFit="1" customWidth="1"/>
    <col min="9" max="9" width="10.44140625" style="2" customWidth="1"/>
    <col min="10" max="10" width="9.109375" style="2" customWidth="1"/>
    <col min="11" max="11" width="8.21875" style="2" customWidth="1"/>
    <col min="12" max="12" width="11.109375" style="2" customWidth="1"/>
    <col min="13" max="13" width="10.21875" style="12" customWidth="1"/>
    <col min="14" max="14" width="17.21875" style="12" customWidth="1"/>
    <col min="15" max="15" width="10.88671875" style="12" customWidth="1"/>
    <col min="16" max="16" width="10.21875" style="2" bestFit="1" customWidth="1"/>
    <col min="17" max="17" width="29.33203125" style="2" customWidth="1"/>
    <col min="18" max="18" width="24" style="12" bestFit="1" customWidth="1"/>
    <col min="19" max="16384" width="9.109375" style="2"/>
  </cols>
  <sheetData>
    <row r="1" spans="1:18" s="18" customFormat="1" ht="33.6" x14ac:dyDescent="0.3">
      <c r="A1" s="19" t="s">
        <v>3017</v>
      </c>
      <c r="B1" s="20" t="s">
        <v>0</v>
      </c>
      <c r="C1" s="21" t="s">
        <v>3033</v>
      </c>
      <c r="D1" s="22"/>
      <c r="E1" s="22"/>
      <c r="F1" s="22"/>
      <c r="G1" s="22"/>
      <c r="H1" s="22"/>
      <c r="I1" s="22"/>
      <c r="J1" s="22"/>
      <c r="K1" s="22"/>
      <c r="L1" s="22"/>
      <c r="M1" s="22"/>
      <c r="N1" s="22"/>
      <c r="O1" s="22"/>
      <c r="P1" s="22"/>
      <c r="Q1" s="22"/>
      <c r="R1" s="22"/>
    </row>
    <row r="2" spans="1:18" ht="33.6" x14ac:dyDescent="0.3">
      <c r="A2" s="3" t="s">
        <v>2</v>
      </c>
      <c r="B2" s="3" t="s">
        <v>3</v>
      </c>
      <c r="C2" s="4" t="s">
        <v>4</v>
      </c>
      <c r="D2" s="4" t="s">
        <v>5</v>
      </c>
      <c r="E2" s="4" t="s">
        <v>6</v>
      </c>
      <c r="F2" s="4" t="s">
        <v>7</v>
      </c>
      <c r="G2" s="4" t="s">
        <v>8</v>
      </c>
      <c r="H2" s="4" t="s">
        <v>9</v>
      </c>
      <c r="I2" s="4" t="s">
        <v>10</v>
      </c>
      <c r="J2" s="4" t="s">
        <v>11</v>
      </c>
      <c r="K2" s="4" t="s">
        <v>12</v>
      </c>
      <c r="L2" s="4" t="s">
        <v>13</v>
      </c>
      <c r="M2" s="4" t="s">
        <v>14</v>
      </c>
      <c r="N2" s="4" t="s">
        <v>15</v>
      </c>
      <c r="O2" s="4" t="s">
        <v>16</v>
      </c>
      <c r="P2" s="4" t="s">
        <v>17</v>
      </c>
      <c r="Q2" s="4" t="s">
        <v>18</v>
      </c>
      <c r="R2" s="4" t="s">
        <v>3016</v>
      </c>
    </row>
    <row r="3" spans="1:18" s="18" customFormat="1" ht="201.6" x14ac:dyDescent="0.3">
      <c r="A3" s="15" t="s">
        <v>389</v>
      </c>
      <c r="B3" s="15" t="s">
        <v>390</v>
      </c>
      <c r="C3" s="15" t="s">
        <v>391</v>
      </c>
      <c r="D3" s="15" t="s">
        <v>22</v>
      </c>
      <c r="E3" s="15" t="s">
        <v>111</v>
      </c>
      <c r="F3" s="15" t="s">
        <v>392</v>
      </c>
      <c r="G3" s="15" t="s">
        <v>393</v>
      </c>
      <c r="H3" s="15" t="s">
        <v>394</v>
      </c>
      <c r="I3" s="15">
        <v>215</v>
      </c>
      <c r="J3" s="15">
        <v>0</v>
      </c>
      <c r="K3" s="15"/>
      <c r="L3" s="15" t="s">
        <v>395</v>
      </c>
      <c r="M3" s="16" t="s">
        <v>2576</v>
      </c>
      <c r="N3" s="16" t="s">
        <v>2576</v>
      </c>
      <c r="O3" s="17" t="str">
        <f>IF(NOT("https://maps.app.goo.gl/dpR5Bfw38M44h4Xm8" = ""), HYPERLINK("https://maps.app.goo.gl/dpR5Bfw38M44h4Xm8", "موقع"), "")</f>
        <v>موقع</v>
      </c>
      <c r="P3" s="15">
        <v>4000</v>
      </c>
      <c r="Q3" s="15" t="s">
        <v>3029</v>
      </c>
      <c r="R3" s="23" t="s">
        <v>2658</v>
      </c>
    </row>
    <row r="4" spans="1:18" s="18" customFormat="1" ht="201.6" x14ac:dyDescent="0.3">
      <c r="A4" s="15" t="s">
        <v>397</v>
      </c>
      <c r="B4" s="15" t="s">
        <v>390</v>
      </c>
      <c r="C4" s="15" t="s">
        <v>391</v>
      </c>
      <c r="D4" s="15" t="s">
        <v>22</v>
      </c>
      <c r="E4" s="15" t="s">
        <v>23</v>
      </c>
      <c r="F4" s="15" t="s">
        <v>398</v>
      </c>
      <c r="G4" s="15" t="s">
        <v>399</v>
      </c>
      <c r="H4" s="15" t="s">
        <v>400</v>
      </c>
      <c r="I4" s="15">
        <v>197</v>
      </c>
      <c r="J4" s="15">
        <v>0</v>
      </c>
      <c r="K4" s="15"/>
      <c r="L4" s="15" t="s">
        <v>401</v>
      </c>
      <c r="M4" s="16" t="s">
        <v>2576</v>
      </c>
      <c r="N4" s="16" t="s">
        <v>2576</v>
      </c>
      <c r="O4" s="17" t="str">
        <f>IF(NOT("https://maps.app.goo.gl/nUG5J3zE6ENvjhgFA" = ""), HYPERLINK("https://maps.app.goo.gl/nUG5J3zE6ENvjhgFA", "موقع"), "")</f>
        <v>موقع</v>
      </c>
      <c r="P4" s="15">
        <v>20000</v>
      </c>
      <c r="Q4" s="15" t="s">
        <v>3030</v>
      </c>
      <c r="R4" s="24" t="s">
        <v>2659</v>
      </c>
    </row>
    <row r="5" spans="1:18" s="18" customFormat="1" ht="168" x14ac:dyDescent="0.3">
      <c r="A5" s="15" t="s">
        <v>403</v>
      </c>
      <c r="B5" s="15" t="s">
        <v>390</v>
      </c>
      <c r="C5" s="15" t="s">
        <v>391</v>
      </c>
      <c r="D5" s="15" t="s">
        <v>22</v>
      </c>
      <c r="E5" s="15" t="s">
        <v>23</v>
      </c>
      <c r="F5" s="15" t="s">
        <v>398</v>
      </c>
      <c r="G5" s="15" t="s">
        <v>399</v>
      </c>
      <c r="H5" s="15" t="s">
        <v>400</v>
      </c>
      <c r="I5" s="15">
        <v>114</v>
      </c>
      <c r="J5" s="15">
        <v>0</v>
      </c>
      <c r="K5" s="15"/>
      <c r="L5" s="15" t="s">
        <v>404</v>
      </c>
      <c r="M5" s="16" t="s">
        <v>2576</v>
      </c>
      <c r="N5" s="16" t="s">
        <v>2576</v>
      </c>
      <c r="O5" s="17" t="str">
        <f>IF(NOT("https://maps.app.goo.gl/MCYQqVTiARQ5qSDFA" = ""), HYPERLINK("https://maps.app.goo.gl/MCYQqVTiARQ5qSDFA", "موقع"), "")</f>
        <v>موقع</v>
      </c>
      <c r="P5" s="15">
        <v>42000</v>
      </c>
      <c r="Q5" s="15" t="s">
        <v>3031</v>
      </c>
      <c r="R5" s="24" t="s">
        <v>2660</v>
      </c>
    </row>
    <row r="6" spans="1:18" s="18" customFormat="1" ht="67.2" x14ac:dyDescent="0.3">
      <c r="A6" s="15" t="s">
        <v>406</v>
      </c>
      <c r="B6" s="15" t="s">
        <v>390</v>
      </c>
      <c r="C6" s="15" t="s">
        <v>391</v>
      </c>
      <c r="D6" s="15" t="s">
        <v>22</v>
      </c>
      <c r="E6" s="15" t="s">
        <v>23</v>
      </c>
      <c r="F6" s="15" t="s">
        <v>24</v>
      </c>
      <c r="G6" s="15" t="s">
        <v>407</v>
      </c>
      <c r="H6" s="15" t="s">
        <v>408</v>
      </c>
      <c r="I6" s="15">
        <v>743</v>
      </c>
      <c r="J6" s="15">
        <v>0</v>
      </c>
      <c r="K6" s="15"/>
      <c r="L6" s="15" t="s">
        <v>409</v>
      </c>
      <c r="M6" s="16" t="s">
        <v>2576</v>
      </c>
      <c r="N6" s="16" t="s">
        <v>2576</v>
      </c>
      <c r="O6" s="17" t="str">
        <f>IF(NOT("https://maps.app.goo.gl/mPQUN4L9nYnxsqxg7" = ""), HYPERLINK("https://maps.app.goo.gl/mPQUN4L9nYnxsqxg7", "موقع"), "")</f>
        <v>موقع</v>
      </c>
      <c r="P6" s="15">
        <v>51000</v>
      </c>
      <c r="Q6" s="15" t="s">
        <v>3032</v>
      </c>
      <c r="R6" s="24" t="s">
        <v>2661</v>
      </c>
    </row>
    <row r="7" spans="1:18" s="18" customFormat="1" ht="84" x14ac:dyDescent="0.3">
      <c r="A7" s="15" t="s">
        <v>411</v>
      </c>
      <c r="B7" s="15" t="s">
        <v>390</v>
      </c>
      <c r="C7" s="15" t="s">
        <v>391</v>
      </c>
      <c r="D7" s="15" t="s">
        <v>22</v>
      </c>
      <c r="E7" s="15" t="s">
        <v>46</v>
      </c>
      <c r="F7" s="15" t="s">
        <v>412</v>
      </c>
      <c r="G7" s="15" t="s">
        <v>413</v>
      </c>
      <c r="H7" s="15" t="s">
        <v>49</v>
      </c>
      <c r="I7" s="15">
        <v>175</v>
      </c>
      <c r="J7" s="15">
        <v>0</v>
      </c>
      <c r="K7" s="15"/>
      <c r="L7" s="15" t="s">
        <v>414</v>
      </c>
      <c r="M7" s="16" t="s">
        <v>2576</v>
      </c>
      <c r="N7" s="17" t="str">
        <f>IF(NOT("https://truemarkets3d.net/3d-virtual-tour/housingbank-realestate/phase3/aq-lnd-100227/index.html" = ""), HYPERLINK("https://truemarkets3d.net/3d-virtual-tour/housingbank-realestate/phase3/aq-lnd-100227/index.html", "جولة"), "")</f>
        <v>جولة</v>
      </c>
      <c r="O7" s="17" t="str">
        <f>IF(NOT("https://maps.app.goo.gl/GTbJz9ECJLSW5v8A7" = ""), HYPERLINK("https://maps.app.goo.gl/GTbJz9ECJLSW5v8A7", "موقع"), "")</f>
        <v>موقع</v>
      </c>
      <c r="P7" s="15">
        <v>120000</v>
      </c>
      <c r="Q7" s="15" t="s">
        <v>415</v>
      </c>
      <c r="R7" s="24" t="s">
        <v>2662</v>
      </c>
    </row>
    <row r="8" spans="1:18" s="18" customFormat="1" ht="134.4" x14ac:dyDescent="0.3">
      <c r="A8" s="15" t="s">
        <v>416</v>
      </c>
      <c r="B8" s="15" t="s">
        <v>390</v>
      </c>
      <c r="C8" s="15" t="s">
        <v>391</v>
      </c>
      <c r="D8" s="15" t="s">
        <v>22</v>
      </c>
      <c r="E8" s="15" t="s">
        <v>46</v>
      </c>
      <c r="F8" s="15" t="s">
        <v>412</v>
      </c>
      <c r="G8" s="15" t="s">
        <v>417</v>
      </c>
      <c r="H8" s="15" t="s">
        <v>49</v>
      </c>
      <c r="I8" s="15">
        <v>46</v>
      </c>
      <c r="J8" s="15">
        <v>0</v>
      </c>
      <c r="K8" s="15"/>
      <c r="L8" s="15" t="s">
        <v>418</v>
      </c>
      <c r="M8" s="16" t="s">
        <v>2576</v>
      </c>
      <c r="N8" s="16" t="s">
        <v>2576</v>
      </c>
      <c r="O8" s="17" t="str">
        <f>IF(NOT("https://maps.app.goo.gl/wFe8mHvW4oBTUnKr7" = ""), HYPERLINK("https://maps.app.goo.gl/wFe8mHvW4oBTUnKr7", "موقع"), "")</f>
        <v>موقع</v>
      </c>
      <c r="P8" s="15">
        <v>299000</v>
      </c>
      <c r="Q8" s="15" t="s">
        <v>419</v>
      </c>
      <c r="R8" s="24" t="s">
        <v>2663</v>
      </c>
    </row>
    <row r="9" spans="1:18" s="18" customFormat="1" ht="151.19999999999999" x14ac:dyDescent="0.3">
      <c r="A9" s="15" t="s">
        <v>261</v>
      </c>
      <c r="B9" s="15" t="s">
        <v>262</v>
      </c>
      <c r="C9" s="15" t="s">
        <v>263</v>
      </c>
      <c r="D9" s="15" t="s">
        <v>22</v>
      </c>
      <c r="E9" s="15" t="s">
        <v>83</v>
      </c>
      <c r="F9" s="15" t="s">
        <v>264</v>
      </c>
      <c r="G9" s="15" t="s">
        <v>265</v>
      </c>
      <c r="H9" s="15" t="s">
        <v>266</v>
      </c>
      <c r="I9" s="15">
        <v>452</v>
      </c>
      <c r="J9" s="15">
        <v>0</v>
      </c>
      <c r="K9" s="15"/>
      <c r="L9" s="15" t="s">
        <v>267</v>
      </c>
      <c r="M9" s="16" t="s">
        <v>2576</v>
      </c>
      <c r="N9" s="16" t="s">
        <v>2576</v>
      </c>
      <c r="O9" s="17" t="str">
        <f>IF(NOT("https://maps.app.goo.gl/8Ujsip4rf9woKEHE7" = ""), HYPERLINK("https://maps.app.goo.gl/8Ujsip4rf9woKEHE7", "موقع"), "")</f>
        <v>موقع</v>
      </c>
      <c r="P9" s="15">
        <v>116000</v>
      </c>
      <c r="Q9" s="15" t="s">
        <v>268</v>
      </c>
      <c r="R9" s="24" t="s">
        <v>2631</v>
      </c>
    </row>
    <row r="10" spans="1:18" s="18" customFormat="1" ht="67.2" x14ac:dyDescent="0.3">
      <c r="A10" s="15" t="s">
        <v>269</v>
      </c>
      <c r="B10" s="15" t="s">
        <v>262</v>
      </c>
      <c r="C10" s="15" t="s">
        <v>263</v>
      </c>
      <c r="D10" s="15" t="s">
        <v>22</v>
      </c>
      <c r="E10" s="15" t="s">
        <v>177</v>
      </c>
      <c r="F10" s="15" t="s">
        <v>270</v>
      </c>
      <c r="G10" s="15" t="s">
        <v>271</v>
      </c>
      <c r="H10" s="15" t="s">
        <v>272</v>
      </c>
      <c r="I10" s="15">
        <v>222</v>
      </c>
      <c r="J10" s="15">
        <v>0</v>
      </c>
      <c r="K10" s="15"/>
      <c r="L10" s="15" t="s">
        <v>273</v>
      </c>
      <c r="M10" s="16" t="s">
        <v>2576</v>
      </c>
      <c r="N10" s="16" t="s">
        <v>2576</v>
      </c>
      <c r="O10" s="17" t="str">
        <f>IF(NOT("https://maps.app.goo.gl/VBdXXByHUnzCPgCt9" = ""), HYPERLINK("https://maps.app.goo.gl/VBdXXByHUnzCPgCt9", "موقع"), "")</f>
        <v>موقع</v>
      </c>
      <c r="P10" s="15">
        <v>139000</v>
      </c>
      <c r="Q10" s="15" t="s">
        <v>274</v>
      </c>
      <c r="R10" s="24" t="s">
        <v>2632</v>
      </c>
    </row>
    <row r="11" spans="1:18" s="18" customFormat="1" ht="134.4" x14ac:dyDescent="0.3">
      <c r="A11" s="15" t="s">
        <v>275</v>
      </c>
      <c r="B11" s="15" t="s">
        <v>262</v>
      </c>
      <c r="C11" s="15" t="s">
        <v>263</v>
      </c>
      <c r="D11" s="15" t="s">
        <v>22</v>
      </c>
      <c r="E11" s="15" t="s">
        <v>23</v>
      </c>
      <c r="F11" s="15" t="s">
        <v>55</v>
      </c>
      <c r="G11" s="15" t="s">
        <v>276</v>
      </c>
      <c r="H11" s="15" t="s">
        <v>277</v>
      </c>
      <c r="I11" s="15">
        <v>1137</v>
      </c>
      <c r="J11" s="15">
        <v>0</v>
      </c>
      <c r="K11" s="15"/>
      <c r="L11" s="15" t="s">
        <v>278</v>
      </c>
      <c r="M11" s="16" t="s">
        <v>2576</v>
      </c>
      <c r="N11" s="16" t="s">
        <v>2576</v>
      </c>
      <c r="O11" s="16" t="s">
        <v>2576</v>
      </c>
      <c r="P11" s="15">
        <v>482000</v>
      </c>
      <c r="Q11" s="15" t="s">
        <v>279</v>
      </c>
      <c r="R11" s="24" t="s">
        <v>2633</v>
      </c>
    </row>
    <row r="12" spans="1:18" s="18" customFormat="1" ht="336" x14ac:dyDescent="0.3">
      <c r="A12" s="15" t="s">
        <v>280</v>
      </c>
      <c r="B12" s="15" t="s">
        <v>262</v>
      </c>
      <c r="C12" s="15" t="s">
        <v>281</v>
      </c>
      <c r="D12" s="15" t="s">
        <v>22</v>
      </c>
      <c r="E12" s="15" t="s">
        <v>111</v>
      </c>
      <c r="F12" s="15" t="s">
        <v>282</v>
      </c>
      <c r="G12" s="15" t="s">
        <v>119</v>
      </c>
      <c r="H12" s="15" t="s">
        <v>283</v>
      </c>
      <c r="I12" s="15">
        <v>714</v>
      </c>
      <c r="J12" s="15">
        <v>0</v>
      </c>
      <c r="K12" s="15"/>
      <c r="L12" s="15" t="s">
        <v>284</v>
      </c>
      <c r="M12" s="16" t="s">
        <v>2576</v>
      </c>
      <c r="N12" s="16" t="s">
        <v>2576</v>
      </c>
      <c r="O12" s="17" t="str">
        <f>IF(NOT("https://maps.app.goo.gl/2UhYhAw9hhAgwC5T9" = ""), HYPERLINK("https://maps.app.goo.gl/2UhYhAw9hhAgwC5T9", "موقع"), "")</f>
        <v>موقع</v>
      </c>
      <c r="P12" s="15">
        <v>9000</v>
      </c>
      <c r="Q12" s="15" t="s">
        <v>285</v>
      </c>
      <c r="R12" s="24" t="s">
        <v>2634</v>
      </c>
    </row>
    <row r="13" spans="1:18" s="18" customFormat="1" ht="218.4" x14ac:dyDescent="0.3">
      <c r="A13" s="15" t="s">
        <v>286</v>
      </c>
      <c r="B13" s="15" t="s">
        <v>262</v>
      </c>
      <c r="C13" s="15" t="s">
        <v>281</v>
      </c>
      <c r="D13" s="15" t="s">
        <v>22</v>
      </c>
      <c r="E13" s="15" t="s">
        <v>83</v>
      </c>
      <c r="F13" s="15" t="s">
        <v>264</v>
      </c>
      <c r="G13" s="15" t="s">
        <v>265</v>
      </c>
      <c r="H13" s="15" t="s">
        <v>266</v>
      </c>
      <c r="I13" s="15">
        <v>178</v>
      </c>
      <c r="J13" s="15">
        <v>0</v>
      </c>
      <c r="K13" s="15"/>
      <c r="L13" s="15" t="s">
        <v>287</v>
      </c>
      <c r="M13" s="16" t="s">
        <v>2576</v>
      </c>
      <c r="N13" s="16" t="s">
        <v>2576</v>
      </c>
      <c r="O13" s="16" t="s">
        <v>2576</v>
      </c>
      <c r="P13" s="15">
        <v>17000</v>
      </c>
      <c r="Q13" s="15" t="s">
        <v>288</v>
      </c>
      <c r="R13" s="24" t="s">
        <v>2635</v>
      </c>
    </row>
    <row r="14" spans="1:18" s="18" customFormat="1" ht="201.6" x14ac:dyDescent="0.3">
      <c r="A14" s="15" t="s">
        <v>289</v>
      </c>
      <c r="B14" s="15" t="s">
        <v>262</v>
      </c>
      <c r="C14" s="15" t="s">
        <v>281</v>
      </c>
      <c r="D14" s="15" t="s">
        <v>22</v>
      </c>
      <c r="E14" s="15" t="s">
        <v>46</v>
      </c>
      <c r="F14" s="15" t="s">
        <v>290</v>
      </c>
      <c r="G14" s="15" t="s">
        <v>119</v>
      </c>
      <c r="H14" s="15" t="s">
        <v>49</v>
      </c>
      <c r="I14" s="15">
        <v>728</v>
      </c>
      <c r="J14" s="15">
        <v>0</v>
      </c>
      <c r="K14" s="15"/>
      <c r="L14" s="15" t="s">
        <v>291</v>
      </c>
      <c r="M14" s="16" t="s">
        <v>2576</v>
      </c>
      <c r="N14" s="16" t="s">
        <v>2576</v>
      </c>
      <c r="O14" s="17" t="str">
        <f>IF(NOT("https://maps.app.goo.gl/GhUogGQa5hb9EAU99" = ""), HYPERLINK("https://maps.app.goo.gl/GhUogGQa5hb9EAU99", "موقع"), "")</f>
        <v>موقع</v>
      </c>
      <c r="P14" s="15">
        <v>18000</v>
      </c>
      <c r="Q14" s="15" t="s">
        <v>292</v>
      </c>
      <c r="R14" s="24" t="s">
        <v>2636</v>
      </c>
    </row>
    <row r="15" spans="1:18" s="18" customFormat="1" ht="84" x14ac:dyDescent="0.3">
      <c r="A15" s="15" t="s">
        <v>293</v>
      </c>
      <c r="B15" s="15" t="s">
        <v>262</v>
      </c>
      <c r="C15" s="15" t="s">
        <v>281</v>
      </c>
      <c r="D15" s="15" t="s">
        <v>22</v>
      </c>
      <c r="E15" s="15" t="s">
        <v>23</v>
      </c>
      <c r="F15" s="15" t="s">
        <v>294</v>
      </c>
      <c r="G15" s="15" t="s">
        <v>119</v>
      </c>
      <c r="H15" s="15" t="s">
        <v>295</v>
      </c>
      <c r="I15" s="15">
        <v>706</v>
      </c>
      <c r="J15" s="15">
        <v>111</v>
      </c>
      <c r="K15" s="15"/>
      <c r="L15" s="15" t="s">
        <v>296</v>
      </c>
      <c r="M15" s="16" t="s">
        <v>2576</v>
      </c>
      <c r="N15" s="16" t="s">
        <v>2576</v>
      </c>
      <c r="O15" s="16" t="s">
        <v>2576</v>
      </c>
      <c r="P15" s="15">
        <v>18000</v>
      </c>
      <c r="Q15" s="15" t="s">
        <v>297</v>
      </c>
      <c r="R15" s="24" t="s">
        <v>2637</v>
      </c>
    </row>
    <row r="16" spans="1:18" s="18" customFormat="1" ht="302.39999999999998" x14ac:dyDescent="0.3">
      <c r="A16" s="15" t="s">
        <v>298</v>
      </c>
      <c r="B16" s="15" t="s">
        <v>262</v>
      </c>
      <c r="C16" s="15" t="s">
        <v>281</v>
      </c>
      <c r="D16" s="15" t="s">
        <v>22</v>
      </c>
      <c r="E16" s="15" t="s">
        <v>83</v>
      </c>
      <c r="F16" s="15" t="s">
        <v>299</v>
      </c>
      <c r="G16" s="15" t="s">
        <v>300</v>
      </c>
      <c r="H16" s="15" t="s">
        <v>301</v>
      </c>
      <c r="I16" s="15">
        <v>94</v>
      </c>
      <c r="J16" s="15">
        <v>0</v>
      </c>
      <c r="K16" s="15"/>
      <c r="L16" s="15" t="s">
        <v>302</v>
      </c>
      <c r="M16" s="16" t="s">
        <v>2576</v>
      </c>
      <c r="N16" s="16" t="s">
        <v>2576</v>
      </c>
      <c r="O16" s="17" t="str">
        <f>IF(NOT("https://maps.app.goo.gl/xfueMc3S6FseMnuQ6" = ""), HYPERLINK("https://maps.app.goo.gl/xfueMc3S6FseMnuQ6", "موقع"), "")</f>
        <v>موقع</v>
      </c>
      <c r="P16" s="15">
        <v>18000</v>
      </c>
      <c r="Q16" s="15" t="s">
        <v>303</v>
      </c>
      <c r="R16" s="24" t="s">
        <v>2638</v>
      </c>
    </row>
    <row r="17" spans="1:18" s="18" customFormat="1" ht="218.4" x14ac:dyDescent="0.3">
      <c r="A17" s="15" t="s">
        <v>304</v>
      </c>
      <c r="B17" s="15" t="s">
        <v>262</v>
      </c>
      <c r="C17" s="15" t="s">
        <v>281</v>
      </c>
      <c r="D17" s="15" t="s">
        <v>22</v>
      </c>
      <c r="E17" s="15" t="s">
        <v>23</v>
      </c>
      <c r="F17" s="15" t="s">
        <v>305</v>
      </c>
      <c r="G17" s="15" t="s">
        <v>119</v>
      </c>
      <c r="H17" s="15" t="s">
        <v>306</v>
      </c>
      <c r="I17" s="15">
        <v>729</v>
      </c>
      <c r="J17" s="15">
        <v>0</v>
      </c>
      <c r="K17" s="15"/>
      <c r="L17" s="15" t="s">
        <v>307</v>
      </c>
      <c r="M17" s="16" t="s">
        <v>2576</v>
      </c>
      <c r="N17" s="16" t="s">
        <v>2576</v>
      </c>
      <c r="O17" s="17" t="str">
        <f>IF(NOT("https://maps.app.goo.gl/yrsuFhMg29HqzpgT8" = ""), HYPERLINK("https://maps.app.goo.gl/yrsuFhMg29HqzpgT8", "موقع"), "")</f>
        <v>موقع</v>
      </c>
      <c r="P17" s="15">
        <v>24000</v>
      </c>
      <c r="Q17" s="15" t="s">
        <v>308</v>
      </c>
      <c r="R17" s="24" t="s">
        <v>2639</v>
      </c>
    </row>
    <row r="18" spans="1:18" s="18" customFormat="1" ht="117.6" x14ac:dyDescent="0.3">
      <c r="A18" s="15" t="s">
        <v>309</v>
      </c>
      <c r="B18" s="15" t="s">
        <v>262</v>
      </c>
      <c r="C18" s="15" t="s">
        <v>281</v>
      </c>
      <c r="D18" s="15" t="s">
        <v>22</v>
      </c>
      <c r="E18" s="15" t="s">
        <v>310</v>
      </c>
      <c r="F18" s="15" t="s">
        <v>311</v>
      </c>
      <c r="G18" s="15" t="s">
        <v>79</v>
      </c>
      <c r="H18" s="15" t="s">
        <v>312</v>
      </c>
      <c r="I18" s="15">
        <v>771</v>
      </c>
      <c r="J18" s="15">
        <v>201</v>
      </c>
      <c r="K18" s="15"/>
      <c r="L18" s="15" t="s">
        <v>313</v>
      </c>
      <c r="M18" s="16" t="s">
        <v>2576</v>
      </c>
      <c r="N18" s="16" t="s">
        <v>2576</v>
      </c>
      <c r="O18" s="16" t="s">
        <v>2576</v>
      </c>
      <c r="P18" s="15">
        <v>28000</v>
      </c>
      <c r="Q18" s="15" t="s">
        <v>314</v>
      </c>
      <c r="R18" s="24" t="s">
        <v>2640</v>
      </c>
    </row>
    <row r="19" spans="1:18" s="18" customFormat="1" ht="201.6" x14ac:dyDescent="0.3">
      <c r="A19" s="15" t="s">
        <v>315</v>
      </c>
      <c r="B19" s="15" t="s">
        <v>262</v>
      </c>
      <c r="C19" s="15" t="s">
        <v>281</v>
      </c>
      <c r="D19" s="15" t="s">
        <v>22</v>
      </c>
      <c r="E19" s="15" t="s">
        <v>111</v>
      </c>
      <c r="F19" s="15" t="s">
        <v>316</v>
      </c>
      <c r="G19" s="15" t="s">
        <v>317</v>
      </c>
      <c r="H19" s="15" t="s">
        <v>318</v>
      </c>
      <c r="I19" s="15">
        <v>61</v>
      </c>
      <c r="J19" s="15">
        <v>0</v>
      </c>
      <c r="K19" s="15"/>
      <c r="L19" s="15" t="s">
        <v>319</v>
      </c>
      <c r="M19" s="16" t="s">
        <v>2576</v>
      </c>
      <c r="N19" s="16" t="s">
        <v>2576</v>
      </c>
      <c r="O19" s="16" t="s">
        <v>2576</v>
      </c>
      <c r="P19" s="15">
        <v>29000</v>
      </c>
      <c r="Q19" s="15" t="s">
        <v>320</v>
      </c>
      <c r="R19" s="24" t="s">
        <v>2641</v>
      </c>
    </row>
    <row r="20" spans="1:18" s="18" customFormat="1" ht="67.2" x14ac:dyDescent="0.3">
      <c r="A20" s="15" t="s">
        <v>321</v>
      </c>
      <c r="B20" s="15" t="s">
        <v>262</v>
      </c>
      <c r="C20" s="15" t="s">
        <v>281</v>
      </c>
      <c r="D20" s="15" t="s">
        <v>22</v>
      </c>
      <c r="E20" s="15" t="s">
        <v>23</v>
      </c>
      <c r="F20" s="15" t="s">
        <v>242</v>
      </c>
      <c r="G20" s="15" t="s">
        <v>322</v>
      </c>
      <c r="H20" s="15" t="s">
        <v>244</v>
      </c>
      <c r="I20" s="15">
        <v>1237</v>
      </c>
      <c r="J20" s="15">
        <v>0</v>
      </c>
      <c r="K20" s="15"/>
      <c r="L20" s="15" t="s">
        <v>323</v>
      </c>
      <c r="M20" s="16" t="s">
        <v>2576</v>
      </c>
      <c r="N20" s="16" t="s">
        <v>2576</v>
      </c>
      <c r="O20" s="17" t="str">
        <f>IF(NOT("https://maps.app.goo.gl/rD2UqL6Pq2Rt6Qo18" = ""), HYPERLINK("https://maps.app.goo.gl/rD2UqL6Pq2Rt6Qo18", "موقع"), "")</f>
        <v>موقع</v>
      </c>
      <c r="P20" s="15">
        <v>35000</v>
      </c>
      <c r="Q20" s="15" t="s">
        <v>324</v>
      </c>
      <c r="R20" s="24" t="s">
        <v>2642</v>
      </c>
    </row>
    <row r="21" spans="1:18" s="18" customFormat="1" ht="184.8" x14ac:dyDescent="0.3">
      <c r="A21" s="15" t="s">
        <v>325</v>
      </c>
      <c r="B21" s="15" t="s">
        <v>262</v>
      </c>
      <c r="C21" s="15" t="s">
        <v>281</v>
      </c>
      <c r="D21" s="15" t="s">
        <v>22</v>
      </c>
      <c r="E21" s="15" t="s">
        <v>23</v>
      </c>
      <c r="F21" s="15" t="s">
        <v>305</v>
      </c>
      <c r="G21" s="15" t="s">
        <v>119</v>
      </c>
      <c r="H21" s="15" t="s">
        <v>306</v>
      </c>
      <c r="I21" s="15">
        <v>730</v>
      </c>
      <c r="J21" s="15">
        <v>0</v>
      </c>
      <c r="K21" s="15"/>
      <c r="L21" s="15" t="s">
        <v>326</v>
      </c>
      <c r="M21" s="16" t="s">
        <v>2576</v>
      </c>
      <c r="N21" s="16" t="s">
        <v>2576</v>
      </c>
      <c r="O21" s="17" t="str">
        <f>IF(NOT("https://maps.app.goo.gl/3iiVvKGC3G4U5yro8" = ""), HYPERLINK("https://maps.app.goo.gl/3iiVvKGC3G4U5yro8", "موقع"), "")</f>
        <v>موقع</v>
      </c>
      <c r="P21" s="15">
        <v>38000</v>
      </c>
      <c r="Q21" s="15" t="s">
        <v>327</v>
      </c>
      <c r="R21" s="24" t="s">
        <v>2643</v>
      </c>
    </row>
    <row r="22" spans="1:18" s="18" customFormat="1" ht="117.6" x14ac:dyDescent="0.3">
      <c r="A22" s="15" t="s">
        <v>328</v>
      </c>
      <c r="B22" s="15" t="s">
        <v>262</v>
      </c>
      <c r="C22" s="15" t="s">
        <v>281</v>
      </c>
      <c r="D22" s="15" t="s">
        <v>22</v>
      </c>
      <c r="E22" s="15" t="s">
        <v>23</v>
      </c>
      <c r="F22" s="15" t="s">
        <v>24</v>
      </c>
      <c r="G22" s="15" t="s">
        <v>132</v>
      </c>
      <c r="H22" s="15" t="s">
        <v>329</v>
      </c>
      <c r="I22" s="15">
        <v>866</v>
      </c>
      <c r="J22" s="15">
        <v>0</v>
      </c>
      <c r="K22" s="15"/>
      <c r="L22" s="15" t="s">
        <v>330</v>
      </c>
      <c r="M22" s="16" t="s">
        <v>2576</v>
      </c>
      <c r="N22" s="16" t="s">
        <v>2576</v>
      </c>
      <c r="O22" s="17" t="str">
        <f>IF(NOT("https://maps.app.goo.gl/GXBMJhyKyLMJtcxM7" = ""), HYPERLINK("https://maps.app.goo.gl/GXBMJhyKyLMJtcxM7", "موقع"), "")</f>
        <v>موقع</v>
      </c>
      <c r="P22" s="15">
        <v>45000</v>
      </c>
      <c r="Q22" s="15" t="s">
        <v>331</v>
      </c>
      <c r="R22" s="24" t="s">
        <v>2644</v>
      </c>
    </row>
    <row r="23" spans="1:18" s="18" customFormat="1" ht="218.4" x14ac:dyDescent="0.3">
      <c r="A23" s="15" t="s">
        <v>332</v>
      </c>
      <c r="B23" s="15" t="s">
        <v>262</v>
      </c>
      <c r="C23" s="15" t="s">
        <v>281</v>
      </c>
      <c r="D23" s="15" t="s">
        <v>22</v>
      </c>
      <c r="E23" s="15" t="s">
        <v>23</v>
      </c>
      <c r="F23" s="15" t="s">
        <v>333</v>
      </c>
      <c r="G23" s="15" t="s">
        <v>334</v>
      </c>
      <c r="H23" s="15" t="s">
        <v>335</v>
      </c>
      <c r="I23" s="15">
        <v>162</v>
      </c>
      <c r="J23" s="15">
        <v>0</v>
      </c>
      <c r="K23" s="15"/>
      <c r="L23" s="15" t="s">
        <v>336</v>
      </c>
      <c r="M23" s="16" t="s">
        <v>2576</v>
      </c>
      <c r="N23" s="16" t="s">
        <v>2576</v>
      </c>
      <c r="O23" s="16" t="s">
        <v>2576</v>
      </c>
      <c r="P23" s="15">
        <v>50000</v>
      </c>
      <c r="Q23" s="15" t="s">
        <v>337</v>
      </c>
      <c r="R23" s="24" t="s">
        <v>2645</v>
      </c>
    </row>
    <row r="24" spans="1:18" s="18" customFormat="1" ht="201.6" x14ac:dyDescent="0.3">
      <c r="A24" s="15" t="s">
        <v>338</v>
      </c>
      <c r="B24" s="15" t="s">
        <v>262</v>
      </c>
      <c r="C24" s="15" t="s">
        <v>281</v>
      </c>
      <c r="D24" s="15" t="s">
        <v>22</v>
      </c>
      <c r="E24" s="15" t="s">
        <v>23</v>
      </c>
      <c r="F24" s="15" t="s">
        <v>55</v>
      </c>
      <c r="G24" s="15" t="s">
        <v>61</v>
      </c>
      <c r="H24" s="15" t="s">
        <v>57</v>
      </c>
      <c r="I24" s="15">
        <v>2453</v>
      </c>
      <c r="J24" s="15">
        <v>0</v>
      </c>
      <c r="K24" s="15"/>
      <c r="L24" s="15" t="s">
        <v>339</v>
      </c>
      <c r="M24" s="16" t="s">
        <v>2576</v>
      </c>
      <c r="N24" s="16" t="s">
        <v>2576</v>
      </c>
      <c r="O24" s="17" t="str">
        <f>IF(NOT("https://maps.app.goo.gl/AR3euAiFSyfgJSAs9" = ""), HYPERLINK("https://maps.app.goo.gl/AR3euAiFSyfgJSAs9", "موقع"), "")</f>
        <v>موقع</v>
      </c>
      <c r="P24" s="15">
        <v>50000</v>
      </c>
      <c r="Q24" s="15" t="s">
        <v>340</v>
      </c>
      <c r="R24" s="24" t="s">
        <v>2646</v>
      </c>
    </row>
    <row r="25" spans="1:18" s="18" customFormat="1" ht="201.6" x14ac:dyDescent="0.3">
      <c r="A25" s="15" t="s">
        <v>341</v>
      </c>
      <c r="B25" s="15" t="s">
        <v>262</v>
      </c>
      <c r="C25" s="15" t="s">
        <v>281</v>
      </c>
      <c r="D25" s="15" t="s">
        <v>22</v>
      </c>
      <c r="E25" s="15" t="s">
        <v>23</v>
      </c>
      <c r="F25" s="15" t="s">
        <v>342</v>
      </c>
      <c r="G25" s="15" t="s">
        <v>343</v>
      </c>
      <c r="H25" s="15" t="s">
        <v>344</v>
      </c>
      <c r="I25" s="15">
        <v>63</v>
      </c>
      <c r="J25" s="15">
        <v>0</v>
      </c>
      <c r="K25" s="15"/>
      <c r="L25" s="15" t="s">
        <v>345</v>
      </c>
      <c r="M25" s="16" t="s">
        <v>2576</v>
      </c>
      <c r="N25" s="16" t="s">
        <v>2576</v>
      </c>
      <c r="O25" s="17" t="str">
        <f>IF(NOT("https://maps.app.goo.gl/DtXyaiEjRb94M7aw7" = ""), HYPERLINK("https://maps.app.goo.gl/DtXyaiEjRb94M7aw7", "موقع"), "")</f>
        <v>موقع</v>
      </c>
      <c r="P25" s="15">
        <v>55000</v>
      </c>
      <c r="Q25" s="15" t="s">
        <v>346</v>
      </c>
      <c r="R25" s="24" t="s">
        <v>2647</v>
      </c>
    </row>
    <row r="26" spans="1:18" s="18" customFormat="1" ht="252" x14ac:dyDescent="0.3">
      <c r="A26" s="15" t="s">
        <v>347</v>
      </c>
      <c r="B26" s="15" t="s">
        <v>262</v>
      </c>
      <c r="C26" s="15" t="s">
        <v>281</v>
      </c>
      <c r="D26" s="15" t="s">
        <v>22</v>
      </c>
      <c r="E26" s="15" t="s">
        <v>23</v>
      </c>
      <c r="F26" s="15" t="s">
        <v>24</v>
      </c>
      <c r="G26" s="15" t="s">
        <v>348</v>
      </c>
      <c r="H26" s="15" t="s">
        <v>329</v>
      </c>
      <c r="I26" s="15">
        <v>1445</v>
      </c>
      <c r="J26" s="15">
        <v>0</v>
      </c>
      <c r="K26" s="15"/>
      <c r="L26" s="15" t="s">
        <v>349</v>
      </c>
      <c r="M26" s="16" t="s">
        <v>2576</v>
      </c>
      <c r="N26" s="16" t="s">
        <v>2576</v>
      </c>
      <c r="O26" s="17" t="str">
        <f>IF(NOT("https://maps.app.goo.gl/LzgdCzGhRyhhgWh18" = ""), HYPERLINK("https://maps.app.goo.gl/LzgdCzGhRyhhgWh18", "موقع"), "")</f>
        <v>موقع</v>
      </c>
      <c r="P26" s="15">
        <v>55000</v>
      </c>
      <c r="Q26" s="15" t="s">
        <v>350</v>
      </c>
      <c r="R26" s="24" t="s">
        <v>2648</v>
      </c>
    </row>
    <row r="27" spans="1:18" s="18" customFormat="1" ht="67.2" x14ac:dyDescent="0.3">
      <c r="A27" s="15" t="s">
        <v>351</v>
      </c>
      <c r="B27" s="15" t="s">
        <v>262</v>
      </c>
      <c r="C27" s="15" t="s">
        <v>281</v>
      </c>
      <c r="D27" s="15" t="s">
        <v>22</v>
      </c>
      <c r="E27" s="15" t="s">
        <v>177</v>
      </c>
      <c r="F27" s="15" t="s">
        <v>270</v>
      </c>
      <c r="G27" s="15" t="s">
        <v>352</v>
      </c>
      <c r="H27" s="15" t="s">
        <v>272</v>
      </c>
      <c r="I27" s="15">
        <v>67</v>
      </c>
      <c r="J27" s="15">
        <v>0</v>
      </c>
      <c r="K27" s="15"/>
      <c r="L27" s="15" t="s">
        <v>353</v>
      </c>
      <c r="M27" s="16" t="s">
        <v>2576</v>
      </c>
      <c r="N27" s="16" t="s">
        <v>2576</v>
      </c>
      <c r="O27" s="17" t="str">
        <f>IF(NOT("https://maps.app.goo.gl/rWMU2WF1wwsE75ZF8" = ""), HYPERLINK("https://maps.app.goo.gl/rWMU2WF1wwsE75ZF8", "موقع"), "")</f>
        <v>موقع</v>
      </c>
      <c r="P27" s="15">
        <v>75000</v>
      </c>
      <c r="Q27" s="15" t="s">
        <v>354</v>
      </c>
      <c r="R27" s="24" t="s">
        <v>2649</v>
      </c>
    </row>
    <row r="28" spans="1:18" s="18" customFormat="1" ht="67.2" x14ac:dyDescent="0.3">
      <c r="A28" s="15" t="s">
        <v>355</v>
      </c>
      <c r="B28" s="15" t="s">
        <v>262</v>
      </c>
      <c r="C28" s="15" t="s">
        <v>281</v>
      </c>
      <c r="D28" s="15" t="s">
        <v>22</v>
      </c>
      <c r="E28" s="15" t="s">
        <v>23</v>
      </c>
      <c r="F28" s="15" t="s">
        <v>242</v>
      </c>
      <c r="G28" s="15" t="s">
        <v>356</v>
      </c>
      <c r="H28" s="15" t="s">
        <v>244</v>
      </c>
      <c r="I28" s="15">
        <v>823</v>
      </c>
      <c r="J28" s="15">
        <v>0</v>
      </c>
      <c r="K28" s="15"/>
      <c r="L28" s="15" t="s">
        <v>357</v>
      </c>
      <c r="M28" s="16" t="s">
        <v>2576</v>
      </c>
      <c r="N28" s="16" t="s">
        <v>2576</v>
      </c>
      <c r="O28" s="17" t="str">
        <f>IF(NOT("https://maps.app.goo.gl/STWRURofdNRi6aNY7" = ""), HYPERLINK("https://maps.app.goo.gl/STWRURofdNRi6aNY7", "موقع"), "")</f>
        <v>موقع</v>
      </c>
      <c r="P28" s="15">
        <v>92000</v>
      </c>
      <c r="Q28" s="15" t="s">
        <v>358</v>
      </c>
      <c r="R28" s="24" t="s">
        <v>2650</v>
      </c>
    </row>
    <row r="29" spans="1:18" s="18" customFormat="1" ht="151.19999999999999" x14ac:dyDescent="0.3">
      <c r="A29" s="15" t="s">
        <v>359</v>
      </c>
      <c r="B29" s="15" t="s">
        <v>262</v>
      </c>
      <c r="C29" s="15" t="s">
        <v>281</v>
      </c>
      <c r="D29" s="15" t="s">
        <v>22</v>
      </c>
      <c r="E29" s="15" t="s">
        <v>23</v>
      </c>
      <c r="F29" s="15" t="s">
        <v>24</v>
      </c>
      <c r="G29" s="15" t="s">
        <v>360</v>
      </c>
      <c r="H29" s="15" t="s">
        <v>26</v>
      </c>
      <c r="I29" s="15">
        <v>1180</v>
      </c>
      <c r="J29" s="15">
        <v>0</v>
      </c>
      <c r="K29" s="15"/>
      <c r="L29" s="15" t="s">
        <v>361</v>
      </c>
      <c r="M29" s="16" t="s">
        <v>2576</v>
      </c>
      <c r="N29" s="16" t="s">
        <v>2576</v>
      </c>
      <c r="O29" s="17" t="str">
        <f>IF(NOT("https://maps.app.goo.gl/nkSWqjCQP3hoZy576" = ""), HYPERLINK("https://maps.app.goo.gl/nkSWqjCQP3hoZy576", "موقع"), "")</f>
        <v>موقع</v>
      </c>
      <c r="P29" s="15">
        <v>105000</v>
      </c>
      <c r="Q29" s="15" t="s">
        <v>362</v>
      </c>
      <c r="R29" s="24" t="s">
        <v>2651</v>
      </c>
    </row>
    <row r="30" spans="1:18" s="18" customFormat="1" ht="50.4" x14ac:dyDescent="0.3">
      <c r="A30" s="15" t="s">
        <v>363</v>
      </c>
      <c r="B30" s="15" t="s">
        <v>262</v>
      </c>
      <c r="C30" s="15" t="s">
        <v>281</v>
      </c>
      <c r="D30" s="15" t="s">
        <v>22</v>
      </c>
      <c r="E30" s="15" t="s">
        <v>177</v>
      </c>
      <c r="F30" s="15" t="s">
        <v>270</v>
      </c>
      <c r="G30" s="15" t="s">
        <v>364</v>
      </c>
      <c r="H30" s="15" t="s">
        <v>365</v>
      </c>
      <c r="I30" s="15">
        <v>43</v>
      </c>
      <c r="J30" s="15">
        <v>0</v>
      </c>
      <c r="K30" s="15"/>
      <c r="L30" s="15" t="s">
        <v>366</v>
      </c>
      <c r="M30" s="16" t="s">
        <v>2576</v>
      </c>
      <c r="N30" s="16" t="s">
        <v>2576</v>
      </c>
      <c r="O30" s="16" t="s">
        <v>2576</v>
      </c>
      <c r="P30" s="15">
        <v>106000</v>
      </c>
      <c r="Q30" s="15" t="s">
        <v>367</v>
      </c>
      <c r="R30" s="24" t="s">
        <v>2652</v>
      </c>
    </row>
    <row r="31" spans="1:18" s="18" customFormat="1" ht="100.8" x14ac:dyDescent="0.3">
      <c r="A31" s="15" t="s">
        <v>368</v>
      </c>
      <c r="B31" s="15" t="s">
        <v>262</v>
      </c>
      <c r="C31" s="15" t="s">
        <v>281</v>
      </c>
      <c r="D31" s="15" t="s">
        <v>22</v>
      </c>
      <c r="E31" s="15" t="s">
        <v>23</v>
      </c>
      <c r="F31" s="15" t="s">
        <v>24</v>
      </c>
      <c r="G31" s="15" t="s">
        <v>158</v>
      </c>
      <c r="H31" s="15" t="s">
        <v>159</v>
      </c>
      <c r="I31" s="15">
        <v>725</v>
      </c>
      <c r="J31" s="15">
        <v>0</v>
      </c>
      <c r="K31" s="15"/>
      <c r="L31" s="15" t="s">
        <v>369</v>
      </c>
      <c r="M31" s="16" t="s">
        <v>2576</v>
      </c>
      <c r="N31" s="16" t="s">
        <v>2576</v>
      </c>
      <c r="O31" s="17" t="str">
        <f>IF(NOT("https://maps.app.goo.gl/Ajg2cXekAKXmXFrH7" = ""), HYPERLINK("https://maps.app.goo.gl/Ajg2cXekAKXmXFrH7", "موقع"), "")</f>
        <v>موقع</v>
      </c>
      <c r="P31" s="15">
        <v>118000</v>
      </c>
      <c r="Q31" s="15" t="s">
        <v>370</v>
      </c>
      <c r="R31" s="24" t="s">
        <v>2653</v>
      </c>
    </row>
    <row r="32" spans="1:18" s="18" customFormat="1" ht="235.2" x14ac:dyDescent="0.3">
      <c r="A32" s="15" t="s">
        <v>371</v>
      </c>
      <c r="B32" s="15" t="s">
        <v>262</v>
      </c>
      <c r="C32" s="15" t="s">
        <v>281</v>
      </c>
      <c r="D32" s="15" t="s">
        <v>22</v>
      </c>
      <c r="E32" s="15" t="s">
        <v>177</v>
      </c>
      <c r="F32" s="15" t="s">
        <v>270</v>
      </c>
      <c r="G32" s="15" t="s">
        <v>372</v>
      </c>
      <c r="H32" s="15" t="s">
        <v>272</v>
      </c>
      <c r="I32" s="15">
        <v>573</v>
      </c>
      <c r="J32" s="15">
        <v>0</v>
      </c>
      <c r="K32" s="15"/>
      <c r="L32" s="15" t="s">
        <v>373</v>
      </c>
      <c r="M32" s="16" t="s">
        <v>2576</v>
      </c>
      <c r="N32" s="16" t="s">
        <v>2576</v>
      </c>
      <c r="O32" s="17" t="str">
        <f>IF(NOT("https://maps.app.goo.gl/yDfoGpQw5inuowEEA" = ""), HYPERLINK("https://maps.app.goo.gl/yDfoGpQw5inuowEEA", "موقع"), "")</f>
        <v>موقع</v>
      </c>
      <c r="P32" s="15">
        <v>185000</v>
      </c>
      <c r="Q32" s="15" t="s">
        <v>374</v>
      </c>
      <c r="R32" s="24" t="s">
        <v>2654</v>
      </c>
    </row>
    <row r="33" spans="1:18" s="18" customFormat="1" ht="84" x14ac:dyDescent="0.3">
      <c r="A33" s="15" t="s">
        <v>375</v>
      </c>
      <c r="B33" s="15" t="s">
        <v>262</v>
      </c>
      <c r="C33" s="15" t="s">
        <v>281</v>
      </c>
      <c r="D33" s="15" t="s">
        <v>22</v>
      </c>
      <c r="E33" s="15" t="s">
        <v>23</v>
      </c>
      <c r="F33" s="15" t="s">
        <v>24</v>
      </c>
      <c r="G33" s="15" t="s">
        <v>232</v>
      </c>
      <c r="H33" s="15" t="s">
        <v>376</v>
      </c>
      <c r="I33" s="15">
        <v>916</v>
      </c>
      <c r="J33" s="15">
        <v>0</v>
      </c>
      <c r="K33" s="15"/>
      <c r="L33" s="15" t="s">
        <v>377</v>
      </c>
      <c r="M33" s="16" t="s">
        <v>2576</v>
      </c>
      <c r="N33" s="17" t="str">
        <f>IF(NOT("https://truemarkets3d.net/3d-virtual-tour/housingbank-realestate/phase3/aq-bld-100175/index.html" = ""), HYPERLINK("https://truemarkets3d.net/3d-virtual-tour/housingbank-realestate/phase3/aq-bld-100175/index.html", "جولة"), "")</f>
        <v>جولة</v>
      </c>
      <c r="O33" s="17" t="str">
        <f>IF(NOT("https://maps.app.goo.gl/7mzbgBp7QAgt2Bbo8" = ""), HYPERLINK("https://maps.app.goo.gl/7mzbgBp7QAgt2Bbo8", "موقع"), "")</f>
        <v>موقع</v>
      </c>
      <c r="P33" s="15">
        <v>321000</v>
      </c>
      <c r="Q33" s="15" t="s">
        <v>378</v>
      </c>
      <c r="R33" s="24" t="s">
        <v>2655</v>
      </c>
    </row>
    <row r="34" spans="1:18" s="18" customFormat="1" ht="84" x14ac:dyDescent="0.3">
      <c r="A34" s="15" t="s">
        <v>379</v>
      </c>
      <c r="B34" s="15" t="s">
        <v>262</v>
      </c>
      <c r="C34" s="15" t="s">
        <v>380</v>
      </c>
      <c r="D34" s="15" t="s">
        <v>22</v>
      </c>
      <c r="E34" s="15" t="s">
        <v>177</v>
      </c>
      <c r="F34" s="15" t="s">
        <v>270</v>
      </c>
      <c r="G34" s="15" t="s">
        <v>381</v>
      </c>
      <c r="H34" s="15" t="s">
        <v>272</v>
      </c>
      <c r="I34" s="15">
        <v>512</v>
      </c>
      <c r="J34" s="15"/>
      <c r="K34" s="15"/>
      <c r="L34" s="15" t="s">
        <v>382</v>
      </c>
      <c r="M34" s="16" t="s">
        <v>2576</v>
      </c>
      <c r="N34" s="16" t="s">
        <v>2576</v>
      </c>
      <c r="O34" s="17" t="str">
        <f>IF(NOT("https://maps.app.goo.gl/P22nSAKpY1y173fX9" = ""), HYPERLINK("https://maps.app.goo.gl/P22nSAKpY1y173fX9", "موقع"), "")</f>
        <v>موقع</v>
      </c>
      <c r="P34" s="15">
        <v>391000</v>
      </c>
      <c r="Q34" s="15" t="s">
        <v>383</v>
      </c>
      <c r="R34" s="24" t="s">
        <v>2656</v>
      </c>
    </row>
    <row r="35" spans="1:18" s="18" customFormat="1" ht="117.6" x14ac:dyDescent="0.3">
      <c r="A35" s="15" t="s">
        <v>384</v>
      </c>
      <c r="B35" s="15" t="s">
        <v>262</v>
      </c>
      <c r="C35" s="15" t="s">
        <v>385</v>
      </c>
      <c r="D35" s="15" t="s">
        <v>22</v>
      </c>
      <c r="E35" s="15" t="s">
        <v>23</v>
      </c>
      <c r="F35" s="15" t="s">
        <v>333</v>
      </c>
      <c r="G35" s="15" t="s">
        <v>386</v>
      </c>
      <c r="H35" s="15" t="s">
        <v>335</v>
      </c>
      <c r="I35" s="15">
        <v>68</v>
      </c>
      <c r="J35" s="15">
        <v>0</v>
      </c>
      <c r="K35" s="15"/>
      <c r="L35" s="15" t="s">
        <v>387</v>
      </c>
      <c r="M35" s="16" t="s">
        <v>2576</v>
      </c>
      <c r="N35" s="17" t="str">
        <f>IF(NOT("https://truemarkets3d.net/3d-virtual-tour/housingbank-realestate/phase3/aq-bld-1002151/index.html" = ""), HYPERLINK("https://truemarkets3d.net/3d-virtual-tour/housingbank-realestate/phase3/aq-bld-1002151/index.html", "جولة"), "")</f>
        <v>جولة</v>
      </c>
      <c r="O35" s="17" t="str">
        <f>IF(NOT("https://maps.app.goo.gl/eBPzDJAw2Gem5hgY8" = ""), HYPERLINK("https://maps.app.goo.gl/eBPzDJAw2Gem5hgY8", "موقع"), "")</f>
        <v>موقع</v>
      </c>
      <c r="P35" s="15">
        <v>217000</v>
      </c>
      <c r="Q35" s="15" t="s">
        <v>388</v>
      </c>
      <c r="R35" s="24" t="s">
        <v>2657</v>
      </c>
    </row>
    <row r="36" spans="1:18" s="18" customFormat="1" ht="84" x14ac:dyDescent="0.3">
      <c r="A36" s="15" t="s">
        <v>420</v>
      </c>
      <c r="B36" s="15" t="s">
        <v>262</v>
      </c>
      <c r="C36" s="15" t="s">
        <v>421</v>
      </c>
      <c r="D36" s="15" t="s">
        <v>22</v>
      </c>
      <c r="E36" s="15" t="s">
        <v>111</v>
      </c>
      <c r="F36" s="15" t="s">
        <v>422</v>
      </c>
      <c r="G36" s="15" t="s">
        <v>423</v>
      </c>
      <c r="H36" s="15" t="s">
        <v>424</v>
      </c>
      <c r="I36" s="15">
        <v>721</v>
      </c>
      <c r="J36" s="15">
        <v>0</v>
      </c>
      <c r="K36" s="15"/>
      <c r="L36" s="15" t="s">
        <v>425</v>
      </c>
      <c r="M36" s="16" t="s">
        <v>2576</v>
      </c>
      <c r="N36" s="16" t="s">
        <v>2576</v>
      </c>
      <c r="O36" s="17" t="str">
        <f>IF(NOT("https://maps.app.goo.gl/qccUBmfQyxV8jbS37" = ""), HYPERLINK("https://maps.app.goo.gl/qccUBmfQyxV8jbS37", "موقع"), "")</f>
        <v>موقع</v>
      </c>
      <c r="P36" s="15">
        <v>16000</v>
      </c>
      <c r="Q36" s="15" t="s">
        <v>426</v>
      </c>
      <c r="R36" s="24" t="s">
        <v>2664</v>
      </c>
    </row>
    <row r="37" spans="1:18" s="18" customFormat="1" ht="100.8" x14ac:dyDescent="0.3">
      <c r="A37" s="15" t="s">
        <v>427</v>
      </c>
      <c r="B37" s="15" t="s">
        <v>262</v>
      </c>
      <c r="C37" s="15" t="s">
        <v>421</v>
      </c>
      <c r="D37" s="15" t="s">
        <v>22</v>
      </c>
      <c r="E37" s="15" t="s">
        <v>23</v>
      </c>
      <c r="F37" s="15" t="s">
        <v>428</v>
      </c>
      <c r="G37" s="15" t="s">
        <v>429</v>
      </c>
      <c r="H37" s="15" t="s">
        <v>194</v>
      </c>
      <c r="I37" s="15">
        <v>721</v>
      </c>
      <c r="J37" s="15">
        <v>0</v>
      </c>
      <c r="K37" s="15"/>
      <c r="L37" s="15" t="s">
        <v>430</v>
      </c>
      <c r="M37" s="16" t="s">
        <v>2576</v>
      </c>
      <c r="N37" s="16" t="s">
        <v>2576</v>
      </c>
      <c r="O37" s="17" t="str">
        <f>IF(NOT("https://maps.app.goo.gl/jdP9mhJeqY1ZVuzt5" = ""), HYPERLINK("https://maps.app.goo.gl/jdP9mhJeqY1ZVuzt5", "موقع"), "")</f>
        <v>موقع</v>
      </c>
      <c r="P37" s="15">
        <v>43000</v>
      </c>
      <c r="Q37" s="15" t="s">
        <v>431</v>
      </c>
      <c r="R37" s="24" t="s">
        <v>2665</v>
      </c>
    </row>
    <row r="38" spans="1:18" s="18" customFormat="1" ht="184.8" x14ac:dyDescent="0.3">
      <c r="A38" s="15" t="s">
        <v>432</v>
      </c>
      <c r="B38" s="15" t="s">
        <v>262</v>
      </c>
      <c r="C38" s="15" t="s">
        <v>433</v>
      </c>
      <c r="D38" s="15" t="s">
        <v>22</v>
      </c>
      <c r="E38" s="15" t="s">
        <v>177</v>
      </c>
      <c r="F38" s="15" t="s">
        <v>270</v>
      </c>
      <c r="G38" s="15" t="s">
        <v>434</v>
      </c>
      <c r="H38" s="15" t="s">
        <v>272</v>
      </c>
      <c r="I38" s="15">
        <v>305</v>
      </c>
      <c r="J38" s="15">
        <v>0</v>
      </c>
      <c r="K38" s="15"/>
      <c r="L38" s="15" t="s">
        <v>435</v>
      </c>
      <c r="M38" s="16" t="s">
        <v>2576</v>
      </c>
      <c r="N38" s="16" t="s">
        <v>2576</v>
      </c>
      <c r="O38" s="17" t="str">
        <f>IF(NOT("https://maps.app.goo.gl/7LcX3touGJ2D87889" = ""), HYPERLINK("https://maps.app.goo.gl/7LcX3touGJ2D87889", "موقع"), "")</f>
        <v>موقع</v>
      </c>
      <c r="P38" s="15">
        <v>50000</v>
      </c>
      <c r="Q38" s="15" t="s">
        <v>436</v>
      </c>
      <c r="R38" s="24" t="s">
        <v>2666</v>
      </c>
    </row>
    <row r="39" spans="1:18" s="18" customFormat="1" ht="67.2" x14ac:dyDescent="0.3">
      <c r="A39" s="15" t="s">
        <v>19</v>
      </c>
      <c r="B39" s="15" t="s">
        <v>20</v>
      </c>
      <c r="C39" s="15" t="s">
        <v>21</v>
      </c>
      <c r="D39" s="15" t="s">
        <v>22</v>
      </c>
      <c r="E39" s="15" t="s">
        <v>23</v>
      </c>
      <c r="F39" s="15" t="s">
        <v>24</v>
      </c>
      <c r="G39" s="15" t="s">
        <v>25</v>
      </c>
      <c r="H39" s="15" t="s">
        <v>26</v>
      </c>
      <c r="I39" s="15">
        <v>1407</v>
      </c>
      <c r="J39" s="15">
        <v>-109</v>
      </c>
      <c r="K39" s="15" t="s">
        <v>27</v>
      </c>
      <c r="L39" s="15" t="s">
        <v>28</v>
      </c>
      <c r="M39" s="16" t="s">
        <v>2576</v>
      </c>
      <c r="N39" s="16" t="s">
        <v>2576</v>
      </c>
      <c r="O39" s="17" t="str">
        <f>IF(NOT("https://maps.app.goo.gl/TiVucRGg5RVLEjAY7" = ""), HYPERLINK("https://maps.app.goo.gl/TiVucRGg5RVLEjAY7", "موقع"), "")</f>
        <v>موقع</v>
      </c>
      <c r="P39" s="15">
        <v>9000</v>
      </c>
      <c r="Q39" s="15" t="s">
        <v>3018</v>
      </c>
      <c r="R39" s="24" t="s">
        <v>2577</v>
      </c>
    </row>
    <row r="40" spans="1:18" s="18" customFormat="1" ht="67.2" x14ac:dyDescent="0.3">
      <c r="A40" s="15" t="s">
        <v>30</v>
      </c>
      <c r="B40" s="15" t="s">
        <v>20</v>
      </c>
      <c r="C40" s="15" t="s">
        <v>21</v>
      </c>
      <c r="D40" s="15" t="s">
        <v>22</v>
      </c>
      <c r="E40" s="15" t="s">
        <v>23</v>
      </c>
      <c r="F40" s="15" t="s">
        <v>24</v>
      </c>
      <c r="G40" s="15" t="s">
        <v>25</v>
      </c>
      <c r="H40" s="15" t="s">
        <v>26</v>
      </c>
      <c r="I40" s="15">
        <v>1407</v>
      </c>
      <c r="J40" s="15">
        <v>-104</v>
      </c>
      <c r="K40" s="15" t="s">
        <v>27</v>
      </c>
      <c r="L40" s="15" t="s">
        <v>28</v>
      </c>
      <c r="M40" s="16" t="s">
        <v>2576</v>
      </c>
      <c r="N40" s="16" t="s">
        <v>2576</v>
      </c>
      <c r="O40" s="17" t="str">
        <f>IF(NOT("https://maps.app.goo.gl/utZa7pbDNC5BNjBR8" = ""), HYPERLINK("https://maps.app.goo.gl/utZa7pbDNC5BNjBR8", "موقع"), "")</f>
        <v>موقع</v>
      </c>
      <c r="P40" s="15">
        <v>9000</v>
      </c>
      <c r="Q40" s="15" t="s">
        <v>3018</v>
      </c>
      <c r="R40" s="24" t="s">
        <v>2578</v>
      </c>
    </row>
    <row r="41" spans="1:18" s="18" customFormat="1" ht="67.2" x14ac:dyDescent="0.3">
      <c r="A41" s="15" t="s">
        <v>31</v>
      </c>
      <c r="B41" s="15" t="s">
        <v>20</v>
      </c>
      <c r="C41" s="15" t="s">
        <v>21</v>
      </c>
      <c r="D41" s="15" t="s">
        <v>22</v>
      </c>
      <c r="E41" s="15" t="s">
        <v>23</v>
      </c>
      <c r="F41" s="15" t="s">
        <v>24</v>
      </c>
      <c r="G41" s="15" t="s">
        <v>25</v>
      </c>
      <c r="H41" s="15" t="s">
        <v>26</v>
      </c>
      <c r="I41" s="15">
        <v>1407</v>
      </c>
      <c r="J41" s="15">
        <v>106</v>
      </c>
      <c r="K41" s="15" t="s">
        <v>32</v>
      </c>
      <c r="L41" s="15" t="s">
        <v>33</v>
      </c>
      <c r="M41" s="16" t="s">
        <v>2576</v>
      </c>
      <c r="N41" s="16" t="s">
        <v>2576</v>
      </c>
      <c r="O41" s="17" t="str">
        <f>IF(NOT("https://maps.app.goo.gl/6VeK1soQc9FANyGr5" = ""), HYPERLINK("https://maps.app.goo.gl/6VeK1soQc9FANyGr5", "موقع"), "")</f>
        <v>موقع</v>
      </c>
      <c r="P41" s="15">
        <v>9000</v>
      </c>
      <c r="Q41" s="15" t="s">
        <v>3019</v>
      </c>
      <c r="R41" s="24" t="s">
        <v>2579</v>
      </c>
    </row>
    <row r="42" spans="1:18" s="18" customFormat="1" ht="67.2" x14ac:dyDescent="0.3">
      <c r="A42" s="15" t="s">
        <v>35</v>
      </c>
      <c r="B42" s="15" t="s">
        <v>20</v>
      </c>
      <c r="C42" s="15" t="s">
        <v>21</v>
      </c>
      <c r="D42" s="15" t="s">
        <v>22</v>
      </c>
      <c r="E42" s="15" t="s">
        <v>23</v>
      </c>
      <c r="F42" s="15" t="s">
        <v>24</v>
      </c>
      <c r="G42" s="15" t="s">
        <v>25</v>
      </c>
      <c r="H42" s="15" t="s">
        <v>26</v>
      </c>
      <c r="I42" s="15">
        <v>1407</v>
      </c>
      <c r="J42" s="15">
        <v>-103</v>
      </c>
      <c r="K42" s="15" t="s">
        <v>27</v>
      </c>
      <c r="L42" s="15" t="s">
        <v>28</v>
      </c>
      <c r="M42" s="16" t="s">
        <v>2576</v>
      </c>
      <c r="N42" s="16" t="s">
        <v>2576</v>
      </c>
      <c r="O42" s="17" t="str">
        <f>IF(NOT("https://maps.app.goo.gl/RYd23MtaG2mUYFnd7" = ""), HYPERLINK("https://maps.app.goo.gl/RYd23MtaG2mUYFnd7", "موقع"), "")</f>
        <v>موقع</v>
      </c>
      <c r="P42" s="15">
        <v>9000</v>
      </c>
      <c r="Q42" s="15" t="s">
        <v>3018</v>
      </c>
      <c r="R42" s="24" t="s">
        <v>2580</v>
      </c>
    </row>
    <row r="43" spans="1:18" s="18" customFormat="1" ht="67.2" x14ac:dyDescent="0.3">
      <c r="A43" s="15" t="s">
        <v>36</v>
      </c>
      <c r="B43" s="15" t="s">
        <v>20</v>
      </c>
      <c r="C43" s="15" t="s">
        <v>21</v>
      </c>
      <c r="D43" s="15" t="s">
        <v>22</v>
      </c>
      <c r="E43" s="15" t="s">
        <v>23</v>
      </c>
      <c r="F43" s="15" t="s">
        <v>24</v>
      </c>
      <c r="G43" s="15" t="s">
        <v>25</v>
      </c>
      <c r="H43" s="15" t="s">
        <v>26</v>
      </c>
      <c r="I43" s="15">
        <v>1407</v>
      </c>
      <c r="J43" s="15">
        <v>-105</v>
      </c>
      <c r="K43" s="15" t="s">
        <v>27</v>
      </c>
      <c r="L43" s="15" t="s">
        <v>28</v>
      </c>
      <c r="M43" s="16" t="s">
        <v>2576</v>
      </c>
      <c r="N43" s="16" t="s">
        <v>2576</v>
      </c>
      <c r="O43" s="17" t="str">
        <f>IF(NOT("https://maps.app.goo.gl/8szHmw75q7cGjeJ57" = ""), HYPERLINK("https://maps.app.goo.gl/8szHmw75q7cGjeJ57", "موقع"), "")</f>
        <v>موقع</v>
      </c>
      <c r="P43" s="15">
        <v>9000</v>
      </c>
      <c r="Q43" s="15" t="s">
        <v>3018</v>
      </c>
      <c r="R43" s="24" t="s">
        <v>2581</v>
      </c>
    </row>
    <row r="44" spans="1:18" s="18" customFormat="1" ht="67.2" x14ac:dyDescent="0.3">
      <c r="A44" s="15" t="s">
        <v>37</v>
      </c>
      <c r="B44" s="15" t="s">
        <v>20</v>
      </c>
      <c r="C44" s="15" t="s">
        <v>21</v>
      </c>
      <c r="D44" s="15" t="s">
        <v>22</v>
      </c>
      <c r="E44" s="15" t="s">
        <v>23</v>
      </c>
      <c r="F44" s="15" t="s">
        <v>24</v>
      </c>
      <c r="G44" s="15" t="s">
        <v>25</v>
      </c>
      <c r="H44" s="15" t="s">
        <v>26</v>
      </c>
      <c r="I44" s="15">
        <v>1407</v>
      </c>
      <c r="J44" s="15">
        <v>-106</v>
      </c>
      <c r="K44" s="15" t="s">
        <v>27</v>
      </c>
      <c r="L44" s="15" t="s">
        <v>38</v>
      </c>
      <c r="M44" s="16" t="s">
        <v>2576</v>
      </c>
      <c r="N44" s="16" t="s">
        <v>2576</v>
      </c>
      <c r="O44" s="17" t="str">
        <f>IF(NOT("https://maps.app.goo.gl/krbj2GhMvuWbUamp8" = ""), HYPERLINK("https://maps.app.goo.gl/krbj2GhMvuWbUamp8", "موقع"), "")</f>
        <v>موقع</v>
      </c>
      <c r="P44" s="15">
        <v>9000</v>
      </c>
      <c r="Q44" s="15" t="s">
        <v>3020</v>
      </c>
      <c r="R44" s="24" t="s">
        <v>2582</v>
      </c>
    </row>
    <row r="45" spans="1:18" s="18" customFormat="1" ht="67.2" x14ac:dyDescent="0.3">
      <c r="A45" s="15" t="s">
        <v>40</v>
      </c>
      <c r="B45" s="15" t="s">
        <v>20</v>
      </c>
      <c r="C45" s="15" t="s">
        <v>21</v>
      </c>
      <c r="D45" s="15" t="s">
        <v>22</v>
      </c>
      <c r="E45" s="15" t="s">
        <v>23</v>
      </c>
      <c r="F45" s="15" t="s">
        <v>24</v>
      </c>
      <c r="G45" s="15" t="s">
        <v>25</v>
      </c>
      <c r="H45" s="15" t="s">
        <v>26</v>
      </c>
      <c r="I45" s="15">
        <v>1407</v>
      </c>
      <c r="J45" s="15">
        <v>107</v>
      </c>
      <c r="K45" s="15" t="s">
        <v>41</v>
      </c>
      <c r="L45" s="15" t="s">
        <v>42</v>
      </c>
      <c r="M45" s="16" t="s">
        <v>2576</v>
      </c>
      <c r="N45" s="16" t="s">
        <v>2576</v>
      </c>
      <c r="O45" s="17" t="str">
        <f>IF(NOT("https://maps.app.goo.gl/pifTYeCxr41ZPNEo6" = ""), HYPERLINK("https://maps.app.goo.gl/pifTYeCxr41ZPNEo6", "موقع"), "")</f>
        <v>موقع</v>
      </c>
      <c r="P45" s="15">
        <v>20000</v>
      </c>
      <c r="Q45" s="15" t="s">
        <v>3021</v>
      </c>
      <c r="R45" s="24" t="s">
        <v>2583</v>
      </c>
    </row>
    <row r="46" spans="1:18" s="18" customFormat="1" ht="67.2" x14ac:dyDescent="0.3">
      <c r="A46" s="15" t="s">
        <v>44</v>
      </c>
      <c r="B46" s="15" t="s">
        <v>20</v>
      </c>
      <c r="C46" s="15" t="s">
        <v>45</v>
      </c>
      <c r="D46" s="15" t="s">
        <v>22</v>
      </c>
      <c r="E46" s="15" t="s">
        <v>46</v>
      </c>
      <c r="F46" s="15" t="s">
        <v>47</v>
      </c>
      <c r="G46" s="15" t="s">
        <v>48</v>
      </c>
      <c r="H46" s="15" t="s">
        <v>49</v>
      </c>
      <c r="I46" s="15">
        <v>84</v>
      </c>
      <c r="J46" s="15">
        <v>131</v>
      </c>
      <c r="K46" s="15" t="s">
        <v>50</v>
      </c>
      <c r="L46" s="15" t="s">
        <v>51</v>
      </c>
      <c r="M46" s="16" t="s">
        <v>2576</v>
      </c>
      <c r="N46" s="16" t="s">
        <v>2576</v>
      </c>
      <c r="O46" s="17" t="str">
        <f>IF(NOT("https://maps.app.goo.gl/A3XZbfh84v35bWus8" = ""), HYPERLINK("https://maps.app.goo.gl/A3XZbfh84v35bWus8", "موقع"), "")</f>
        <v>موقع</v>
      </c>
      <c r="P46" s="15">
        <v>8000</v>
      </c>
      <c r="Q46" s="15" t="s">
        <v>3022</v>
      </c>
      <c r="R46" s="24" t="s">
        <v>2584</v>
      </c>
    </row>
    <row r="47" spans="1:18" s="18" customFormat="1" ht="67.2" x14ac:dyDescent="0.3">
      <c r="A47" s="15" t="s">
        <v>53</v>
      </c>
      <c r="B47" s="15" t="s">
        <v>20</v>
      </c>
      <c r="C47" s="15" t="s">
        <v>54</v>
      </c>
      <c r="D47" s="15" t="s">
        <v>22</v>
      </c>
      <c r="E47" s="15" t="s">
        <v>23</v>
      </c>
      <c r="F47" s="15" t="s">
        <v>55</v>
      </c>
      <c r="G47" s="15" t="s">
        <v>56</v>
      </c>
      <c r="H47" s="15" t="s">
        <v>57</v>
      </c>
      <c r="I47" s="15">
        <v>1842</v>
      </c>
      <c r="J47" s="15">
        <v>-102</v>
      </c>
      <c r="K47" s="15" t="s">
        <v>27</v>
      </c>
      <c r="L47" s="15" t="s">
        <v>58</v>
      </c>
      <c r="M47" s="16" t="s">
        <v>2576</v>
      </c>
      <c r="N47" s="16" t="s">
        <v>2576</v>
      </c>
      <c r="O47" s="17" t="str">
        <f>IF(NOT("https://maps.app.goo.gl/9pCAjbaA9ZKNeSdX7" = ""), HYPERLINK("https://maps.app.goo.gl/9pCAjbaA9ZKNeSdX7", "موقع"), "")</f>
        <v>موقع</v>
      </c>
      <c r="P47" s="15">
        <v>11000</v>
      </c>
      <c r="Q47" s="15" t="s">
        <v>3023</v>
      </c>
      <c r="R47" s="24" t="s">
        <v>2585</v>
      </c>
    </row>
    <row r="48" spans="1:18" s="18" customFormat="1" ht="67.2" x14ac:dyDescent="0.3">
      <c r="A48" s="15" t="s">
        <v>60</v>
      </c>
      <c r="B48" s="15" t="s">
        <v>20</v>
      </c>
      <c r="C48" s="15" t="s">
        <v>54</v>
      </c>
      <c r="D48" s="15" t="s">
        <v>22</v>
      </c>
      <c r="E48" s="15" t="s">
        <v>23</v>
      </c>
      <c r="F48" s="15" t="s">
        <v>55</v>
      </c>
      <c r="G48" s="15" t="s">
        <v>61</v>
      </c>
      <c r="H48" s="15" t="s">
        <v>57</v>
      </c>
      <c r="I48" s="15">
        <v>2390</v>
      </c>
      <c r="J48" s="15">
        <v>-101</v>
      </c>
      <c r="K48" s="15" t="s">
        <v>27</v>
      </c>
      <c r="L48" s="15" t="s">
        <v>62</v>
      </c>
      <c r="M48" s="16" t="s">
        <v>2576</v>
      </c>
      <c r="N48" s="16" t="s">
        <v>2576</v>
      </c>
      <c r="O48" s="17" t="str">
        <f>IF(NOT("https://maps.app.goo.gl/kNwMxKFC2vofNDEx9" = ""), HYPERLINK("https://maps.app.goo.gl/kNwMxKFC2vofNDEx9", "موقع"), "")</f>
        <v>موقع</v>
      </c>
      <c r="P48" s="15">
        <v>11000</v>
      </c>
      <c r="Q48" s="15" t="s">
        <v>3024</v>
      </c>
      <c r="R48" s="24" t="s">
        <v>2586</v>
      </c>
    </row>
    <row r="49" spans="1:18" s="18" customFormat="1" ht="50.4" x14ac:dyDescent="0.3">
      <c r="A49" s="15" t="s">
        <v>64</v>
      </c>
      <c r="B49" s="15" t="s">
        <v>20</v>
      </c>
      <c r="C49" s="15" t="s">
        <v>54</v>
      </c>
      <c r="D49" s="15" t="s">
        <v>22</v>
      </c>
      <c r="E49" s="15" t="s">
        <v>65</v>
      </c>
      <c r="F49" s="15" t="s">
        <v>66</v>
      </c>
      <c r="G49" s="15" t="s">
        <v>67</v>
      </c>
      <c r="H49" s="15" t="s">
        <v>68</v>
      </c>
      <c r="I49" s="15">
        <v>33</v>
      </c>
      <c r="J49" s="15">
        <v>111</v>
      </c>
      <c r="K49" s="15" t="s">
        <v>32</v>
      </c>
      <c r="L49" s="15" t="s">
        <v>69</v>
      </c>
      <c r="M49" s="16" t="s">
        <v>2576</v>
      </c>
      <c r="N49" s="16" t="s">
        <v>2576</v>
      </c>
      <c r="O49" s="16" t="s">
        <v>2576</v>
      </c>
      <c r="P49" s="15">
        <v>12000</v>
      </c>
      <c r="Q49" s="15" t="s">
        <v>70</v>
      </c>
      <c r="R49" s="24" t="s">
        <v>2587</v>
      </c>
    </row>
    <row r="50" spans="1:18" s="18" customFormat="1" ht="67.2" x14ac:dyDescent="0.3">
      <c r="A50" s="15" t="s">
        <v>71</v>
      </c>
      <c r="B50" s="15" t="s">
        <v>20</v>
      </c>
      <c r="C50" s="15" t="s">
        <v>54</v>
      </c>
      <c r="D50" s="15" t="s">
        <v>22</v>
      </c>
      <c r="E50" s="15" t="s">
        <v>23</v>
      </c>
      <c r="F50" s="15" t="s">
        <v>72</v>
      </c>
      <c r="G50" s="15" t="s">
        <v>73</v>
      </c>
      <c r="H50" s="15" t="s">
        <v>74</v>
      </c>
      <c r="I50" s="15">
        <v>682</v>
      </c>
      <c r="J50" s="15">
        <v>122</v>
      </c>
      <c r="K50" s="15" t="s">
        <v>75</v>
      </c>
      <c r="L50" s="15" t="s">
        <v>76</v>
      </c>
      <c r="M50" s="16" t="s">
        <v>2576</v>
      </c>
      <c r="N50" s="16" t="s">
        <v>2576</v>
      </c>
      <c r="O50" s="16" t="s">
        <v>2576</v>
      </c>
      <c r="P50" s="15">
        <v>13000</v>
      </c>
      <c r="Q50" s="15" t="s">
        <v>3026</v>
      </c>
      <c r="R50" s="24" t="s">
        <v>2588</v>
      </c>
    </row>
    <row r="51" spans="1:18" s="18" customFormat="1" ht="67.2" x14ac:dyDescent="0.3">
      <c r="A51" s="15" t="s">
        <v>78</v>
      </c>
      <c r="B51" s="15" t="s">
        <v>20</v>
      </c>
      <c r="C51" s="15" t="s">
        <v>54</v>
      </c>
      <c r="D51" s="15" t="s">
        <v>22</v>
      </c>
      <c r="E51" s="15" t="s">
        <v>23</v>
      </c>
      <c r="F51" s="15" t="s">
        <v>72</v>
      </c>
      <c r="G51" s="15" t="s">
        <v>79</v>
      </c>
      <c r="H51" s="15" t="s">
        <v>74</v>
      </c>
      <c r="I51" s="15">
        <v>136</v>
      </c>
      <c r="J51" s="15">
        <v>122</v>
      </c>
      <c r="K51" s="15" t="s">
        <v>75</v>
      </c>
      <c r="L51" s="15" t="s">
        <v>80</v>
      </c>
      <c r="M51" s="16" t="s">
        <v>2576</v>
      </c>
      <c r="N51" s="16" t="s">
        <v>2576</v>
      </c>
      <c r="O51" s="16" t="s">
        <v>2576</v>
      </c>
      <c r="P51" s="15">
        <v>14000</v>
      </c>
      <c r="Q51" s="15" t="s">
        <v>3027</v>
      </c>
      <c r="R51" s="24" t="s">
        <v>2589</v>
      </c>
    </row>
    <row r="52" spans="1:18" s="18" customFormat="1" ht="67.2" x14ac:dyDescent="0.3">
      <c r="A52" s="15" t="s">
        <v>82</v>
      </c>
      <c r="B52" s="15" t="s">
        <v>20</v>
      </c>
      <c r="C52" s="15" t="s">
        <v>54</v>
      </c>
      <c r="D52" s="15" t="s">
        <v>22</v>
      </c>
      <c r="E52" s="15" t="s">
        <v>83</v>
      </c>
      <c r="F52" s="15" t="s">
        <v>84</v>
      </c>
      <c r="G52" s="15" t="s">
        <v>85</v>
      </c>
      <c r="H52" s="15" t="s">
        <v>86</v>
      </c>
      <c r="I52" s="15">
        <v>782</v>
      </c>
      <c r="J52" s="15">
        <v>-102</v>
      </c>
      <c r="K52" s="15" t="s">
        <v>27</v>
      </c>
      <c r="L52" s="15" t="s">
        <v>87</v>
      </c>
      <c r="M52" s="16" t="s">
        <v>2576</v>
      </c>
      <c r="N52" s="16" t="s">
        <v>2576</v>
      </c>
      <c r="O52" s="17" t="str">
        <f>IF(NOT("https://maps.app.goo.gl/4ZeUixs6SEXRqnyr8" = ""), HYPERLINK("https://maps.app.goo.gl/4ZeUixs6SEXRqnyr8", "موقع"), "")</f>
        <v>موقع</v>
      </c>
      <c r="P52" s="15">
        <v>14000</v>
      </c>
      <c r="Q52" s="15" t="s">
        <v>3028</v>
      </c>
      <c r="R52" s="24" t="s">
        <v>2590</v>
      </c>
    </row>
    <row r="53" spans="1:18" s="18" customFormat="1" ht="33.6" x14ac:dyDescent="0.3">
      <c r="A53" s="15" t="s">
        <v>89</v>
      </c>
      <c r="B53" s="15" t="s">
        <v>20</v>
      </c>
      <c r="C53" s="15" t="s">
        <v>54</v>
      </c>
      <c r="D53" s="15" t="s">
        <v>22</v>
      </c>
      <c r="E53" s="15" t="s">
        <v>23</v>
      </c>
      <c r="F53" s="15" t="s">
        <v>90</v>
      </c>
      <c r="G53" s="15" t="s">
        <v>91</v>
      </c>
      <c r="H53" s="15" t="s">
        <v>92</v>
      </c>
      <c r="I53" s="15">
        <v>194</v>
      </c>
      <c r="J53" s="15">
        <v>101</v>
      </c>
      <c r="K53" s="15" t="s">
        <v>32</v>
      </c>
      <c r="L53" s="15" t="s">
        <v>93</v>
      </c>
      <c r="M53" s="16" t="s">
        <v>2576</v>
      </c>
      <c r="N53" s="16" t="s">
        <v>2576</v>
      </c>
      <c r="O53" s="17" t="str">
        <f>IF(NOT("https://maps.app.goo.gl/sUZZ3HjBRZcis2or5" = ""), HYPERLINK("https://maps.app.goo.gl/sUZZ3HjBRZcis2or5", "موقع"), "")</f>
        <v>موقع</v>
      </c>
      <c r="P53" s="15">
        <v>16000</v>
      </c>
      <c r="Q53" s="15" t="s">
        <v>94</v>
      </c>
      <c r="R53" s="24" t="s">
        <v>2591</v>
      </c>
    </row>
    <row r="54" spans="1:18" s="18" customFormat="1" ht="100.8" x14ac:dyDescent="0.3">
      <c r="A54" s="15" t="s">
        <v>95</v>
      </c>
      <c r="B54" s="15" t="s">
        <v>20</v>
      </c>
      <c r="C54" s="15" t="s">
        <v>54</v>
      </c>
      <c r="D54" s="15" t="s">
        <v>22</v>
      </c>
      <c r="E54" s="15" t="s">
        <v>65</v>
      </c>
      <c r="F54" s="15" t="s">
        <v>96</v>
      </c>
      <c r="G54" s="15" t="s">
        <v>97</v>
      </c>
      <c r="H54" s="15" t="s">
        <v>98</v>
      </c>
      <c r="I54" s="15">
        <v>706</v>
      </c>
      <c r="J54" s="15">
        <v>111</v>
      </c>
      <c r="K54" s="15" t="s">
        <v>32</v>
      </c>
      <c r="L54" s="15" t="s">
        <v>99</v>
      </c>
      <c r="M54" s="16" t="s">
        <v>2576</v>
      </c>
      <c r="N54" s="16" t="s">
        <v>2576</v>
      </c>
      <c r="O54" s="17" t="str">
        <f>IF(NOT("https://maps.app.goo.gl/mCqyP1zsBZKWR2FD9" = ""), HYPERLINK("https://maps.app.goo.gl/mCqyP1zsBZKWR2FD9", "موقع"), "")</f>
        <v>موقع</v>
      </c>
      <c r="P54" s="15">
        <v>16000</v>
      </c>
      <c r="Q54" s="15" t="s">
        <v>100</v>
      </c>
      <c r="R54" s="24" t="s">
        <v>2592</v>
      </c>
    </row>
    <row r="55" spans="1:18" s="18" customFormat="1" ht="100.8" x14ac:dyDescent="0.3">
      <c r="A55" s="15" t="s">
        <v>101</v>
      </c>
      <c r="B55" s="15" t="s">
        <v>20</v>
      </c>
      <c r="C55" s="15" t="s">
        <v>54</v>
      </c>
      <c r="D55" s="15" t="s">
        <v>22</v>
      </c>
      <c r="E55" s="15" t="s">
        <v>23</v>
      </c>
      <c r="F55" s="15" t="s">
        <v>72</v>
      </c>
      <c r="G55" s="15" t="s">
        <v>79</v>
      </c>
      <c r="H55" s="15" t="s">
        <v>74</v>
      </c>
      <c r="I55" s="15">
        <v>136</v>
      </c>
      <c r="J55" s="15">
        <v>111</v>
      </c>
      <c r="K55" s="15" t="s">
        <v>32</v>
      </c>
      <c r="L55" s="15" t="s">
        <v>102</v>
      </c>
      <c r="M55" s="16" t="s">
        <v>2576</v>
      </c>
      <c r="N55" s="16" t="s">
        <v>2576</v>
      </c>
      <c r="O55" s="16" t="s">
        <v>2576</v>
      </c>
      <c r="P55" s="15">
        <v>17000</v>
      </c>
      <c r="Q55" s="15" t="s">
        <v>103</v>
      </c>
      <c r="R55" s="24" t="s">
        <v>2593</v>
      </c>
    </row>
    <row r="56" spans="1:18" s="18" customFormat="1" ht="100.8" x14ac:dyDescent="0.3">
      <c r="A56" s="15" t="s">
        <v>104</v>
      </c>
      <c r="B56" s="15" t="s">
        <v>20</v>
      </c>
      <c r="C56" s="15" t="s">
        <v>54</v>
      </c>
      <c r="D56" s="15" t="s">
        <v>22</v>
      </c>
      <c r="E56" s="15" t="s">
        <v>23</v>
      </c>
      <c r="F56" s="15" t="s">
        <v>105</v>
      </c>
      <c r="G56" s="15" t="s">
        <v>106</v>
      </c>
      <c r="H56" s="15" t="s">
        <v>107</v>
      </c>
      <c r="I56" s="15">
        <v>1061</v>
      </c>
      <c r="J56" s="15">
        <v>121</v>
      </c>
      <c r="K56" s="15" t="s">
        <v>75</v>
      </c>
      <c r="L56" s="15" t="s">
        <v>108</v>
      </c>
      <c r="M56" s="16" t="s">
        <v>2576</v>
      </c>
      <c r="N56" s="16" t="s">
        <v>2576</v>
      </c>
      <c r="O56" s="17" t="str">
        <f>IF(NOT("https://maps.app.goo.gl/fZNY8kEBaL8shcWo6" = ""), HYPERLINK("https://maps.app.goo.gl/fZNY8kEBaL8shcWo6", "موقع"), "")</f>
        <v>موقع</v>
      </c>
      <c r="P56" s="15">
        <v>17000</v>
      </c>
      <c r="Q56" s="15" t="s">
        <v>109</v>
      </c>
      <c r="R56" s="24" t="s">
        <v>2594</v>
      </c>
    </row>
    <row r="57" spans="1:18" s="18" customFormat="1" ht="100.8" x14ac:dyDescent="0.3">
      <c r="A57" s="15" t="s">
        <v>110</v>
      </c>
      <c r="B57" s="15" t="s">
        <v>20</v>
      </c>
      <c r="C57" s="15" t="s">
        <v>54</v>
      </c>
      <c r="D57" s="15" t="s">
        <v>22</v>
      </c>
      <c r="E57" s="15" t="s">
        <v>111</v>
      </c>
      <c r="F57" s="15" t="s">
        <v>112</v>
      </c>
      <c r="G57" s="15" t="s">
        <v>113</v>
      </c>
      <c r="H57" s="15" t="s">
        <v>114</v>
      </c>
      <c r="I57" s="15">
        <v>39</v>
      </c>
      <c r="J57" s="15">
        <v>111</v>
      </c>
      <c r="K57" s="15" t="s">
        <v>32</v>
      </c>
      <c r="L57" s="15" t="s">
        <v>115</v>
      </c>
      <c r="M57" s="16" t="s">
        <v>2576</v>
      </c>
      <c r="N57" s="16" t="s">
        <v>2576</v>
      </c>
      <c r="O57" s="17" t="str">
        <f>IF(NOT("https://maps.app.goo.gl/Ynh1ckaYSg13YR5B6" = ""), HYPERLINK("https://maps.app.goo.gl/Ynh1ckaYSg13YR5B6", "موقع"), "")</f>
        <v>موقع</v>
      </c>
      <c r="P57" s="15">
        <v>17000</v>
      </c>
      <c r="Q57" s="15" t="s">
        <v>116</v>
      </c>
      <c r="R57" s="24" t="s">
        <v>2595</v>
      </c>
    </row>
    <row r="58" spans="1:18" s="18" customFormat="1" ht="100.8" x14ac:dyDescent="0.3">
      <c r="A58" s="15" t="s">
        <v>117</v>
      </c>
      <c r="B58" s="15" t="s">
        <v>20</v>
      </c>
      <c r="C58" s="15" t="s">
        <v>54</v>
      </c>
      <c r="D58" s="15" t="s">
        <v>22</v>
      </c>
      <c r="E58" s="15" t="s">
        <v>23</v>
      </c>
      <c r="F58" s="15" t="s">
        <v>118</v>
      </c>
      <c r="G58" s="15" t="s">
        <v>119</v>
      </c>
      <c r="H58" s="15" t="s">
        <v>120</v>
      </c>
      <c r="I58" s="15">
        <v>708</v>
      </c>
      <c r="J58" s="15">
        <v>103</v>
      </c>
      <c r="K58" s="15" t="s">
        <v>41</v>
      </c>
      <c r="L58" s="15" t="s">
        <v>121</v>
      </c>
      <c r="M58" s="16" t="s">
        <v>2576</v>
      </c>
      <c r="N58" s="16" t="s">
        <v>2576</v>
      </c>
      <c r="O58" s="17" t="str">
        <f>IF(NOT("https://maps.app.goo.gl/5WPQMJjorRyZDxdY6" = ""), HYPERLINK("https://maps.app.goo.gl/5WPQMJjorRyZDxdY6", "موقع"), "")</f>
        <v>موقع</v>
      </c>
      <c r="P58" s="15">
        <v>17000</v>
      </c>
      <c r="Q58" s="15" t="s">
        <v>122</v>
      </c>
      <c r="R58" s="24" t="s">
        <v>2596</v>
      </c>
    </row>
    <row r="59" spans="1:18" s="18" customFormat="1" ht="50.4" x14ac:dyDescent="0.3">
      <c r="A59" s="15" t="s">
        <v>123</v>
      </c>
      <c r="B59" s="15" t="s">
        <v>20</v>
      </c>
      <c r="C59" s="15" t="s">
        <v>54</v>
      </c>
      <c r="D59" s="15" t="s">
        <v>22</v>
      </c>
      <c r="E59" s="15" t="s">
        <v>23</v>
      </c>
      <c r="F59" s="15" t="s">
        <v>24</v>
      </c>
      <c r="G59" s="15" t="s">
        <v>124</v>
      </c>
      <c r="H59" s="15" t="s">
        <v>125</v>
      </c>
      <c r="I59" s="15">
        <v>131</v>
      </c>
      <c r="J59" s="15">
        <v>111</v>
      </c>
      <c r="K59" s="15" t="s">
        <v>32</v>
      </c>
      <c r="L59" s="15" t="s">
        <v>126</v>
      </c>
      <c r="M59" s="16" t="s">
        <v>2576</v>
      </c>
      <c r="N59" s="16" t="s">
        <v>2576</v>
      </c>
      <c r="O59" s="16" t="s">
        <v>2576</v>
      </c>
      <c r="P59" s="15">
        <v>19000</v>
      </c>
      <c r="Q59" s="15" t="s">
        <v>127</v>
      </c>
      <c r="R59" s="24" t="s">
        <v>2597</v>
      </c>
    </row>
    <row r="60" spans="1:18" s="18" customFormat="1" ht="100.8" x14ac:dyDescent="0.3">
      <c r="A60" s="15" t="s">
        <v>128</v>
      </c>
      <c r="B60" s="15" t="s">
        <v>20</v>
      </c>
      <c r="C60" s="15" t="s">
        <v>54</v>
      </c>
      <c r="D60" s="15" t="s">
        <v>22</v>
      </c>
      <c r="E60" s="15" t="s">
        <v>23</v>
      </c>
      <c r="F60" s="15" t="s">
        <v>72</v>
      </c>
      <c r="G60" s="15" t="s">
        <v>79</v>
      </c>
      <c r="H60" s="15" t="s">
        <v>74</v>
      </c>
      <c r="I60" s="15">
        <v>142</v>
      </c>
      <c r="J60" s="15">
        <v>111</v>
      </c>
      <c r="K60" s="15" t="s">
        <v>32</v>
      </c>
      <c r="L60" s="15" t="s">
        <v>129</v>
      </c>
      <c r="M60" s="16" t="s">
        <v>2576</v>
      </c>
      <c r="N60" s="16" t="s">
        <v>2576</v>
      </c>
      <c r="O60" s="17" t="str">
        <f>IF(NOT("https://maps.app.goo.gl/nxs148FYHskVkgr49" = ""), HYPERLINK("https://maps.app.goo.gl/nxs148FYHskVkgr49", "موقع"), "")</f>
        <v>موقع</v>
      </c>
      <c r="P60" s="15">
        <v>19000</v>
      </c>
      <c r="Q60" s="15" t="s">
        <v>130</v>
      </c>
      <c r="R60" s="24" t="s">
        <v>2598</v>
      </c>
    </row>
    <row r="61" spans="1:18" s="18" customFormat="1" ht="100.8" x14ac:dyDescent="0.3">
      <c r="A61" s="15" t="s">
        <v>131</v>
      </c>
      <c r="B61" s="15" t="s">
        <v>20</v>
      </c>
      <c r="C61" s="15" t="s">
        <v>54</v>
      </c>
      <c r="D61" s="15" t="s">
        <v>22</v>
      </c>
      <c r="E61" s="15" t="s">
        <v>23</v>
      </c>
      <c r="F61" s="15" t="s">
        <v>24</v>
      </c>
      <c r="G61" s="15" t="s">
        <v>132</v>
      </c>
      <c r="H61" s="15" t="s">
        <v>133</v>
      </c>
      <c r="I61" s="15">
        <v>978</v>
      </c>
      <c r="J61" s="15">
        <v>131</v>
      </c>
      <c r="K61" s="15" t="s">
        <v>50</v>
      </c>
      <c r="L61" s="15" t="s">
        <v>134</v>
      </c>
      <c r="M61" s="16" t="s">
        <v>2576</v>
      </c>
      <c r="N61" s="16" t="s">
        <v>2576</v>
      </c>
      <c r="O61" s="16" t="s">
        <v>2576</v>
      </c>
      <c r="P61" s="15">
        <v>19000</v>
      </c>
      <c r="Q61" s="15" t="s">
        <v>135</v>
      </c>
      <c r="R61" s="24" t="s">
        <v>2599</v>
      </c>
    </row>
    <row r="62" spans="1:18" s="18" customFormat="1" ht="100.8" x14ac:dyDescent="0.3">
      <c r="A62" s="15" t="s">
        <v>136</v>
      </c>
      <c r="B62" s="15" t="s">
        <v>20</v>
      </c>
      <c r="C62" s="15" t="s">
        <v>54</v>
      </c>
      <c r="D62" s="15" t="s">
        <v>22</v>
      </c>
      <c r="E62" s="15" t="s">
        <v>23</v>
      </c>
      <c r="F62" s="15" t="s">
        <v>137</v>
      </c>
      <c r="G62" s="15" t="s">
        <v>138</v>
      </c>
      <c r="H62" s="15" t="s">
        <v>139</v>
      </c>
      <c r="I62" s="15">
        <v>489</v>
      </c>
      <c r="J62" s="15">
        <v>101</v>
      </c>
      <c r="K62" s="15" t="s">
        <v>41</v>
      </c>
      <c r="L62" s="15" t="s">
        <v>102</v>
      </c>
      <c r="M62" s="16" t="s">
        <v>2576</v>
      </c>
      <c r="N62" s="16" t="s">
        <v>2576</v>
      </c>
      <c r="O62" s="16" t="s">
        <v>2576</v>
      </c>
      <c r="P62" s="15">
        <v>20000</v>
      </c>
      <c r="Q62" s="15" t="s">
        <v>140</v>
      </c>
      <c r="R62" s="24" t="s">
        <v>2600</v>
      </c>
    </row>
    <row r="63" spans="1:18" s="18" customFormat="1" ht="100.8" x14ac:dyDescent="0.3">
      <c r="A63" s="15" t="s">
        <v>141</v>
      </c>
      <c r="B63" s="15" t="s">
        <v>20</v>
      </c>
      <c r="C63" s="15" t="s">
        <v>54</v>
      </c>
      <c r="D63" s="15" t="s">
        <v>22</v>
      </c>
      <c r="E63" s="15" t="s">
        <v>23</v>
      </c>
      <c r="F63" s="15" t="s">
        <v>72</v>
      </c>
      <c r="G63" s="15" t="s">
        <v>79</v>
      </c>
      <c r="H63" s="15" t="s">
        <v>74</v>
      </c>
      <c r="I63" s="15">
        <v>136</v>
      </c>
      <c r="J63" s="15">
        <v>121</v>
      </c>
      <c r="K63" s="15" t="s">
        <v>75</v>
      </c>
      <c r="L63" s="15" t="s">
        <v>102</v>
      </c>
      <c r="M63" s="16" t="s">
        <v>2576</v>
      </c>
      <c r="N63" s="16" t="s">
        <v>2576</v>
      </c>
      <c r="O63" s="17" t="str">
        <f>IF(NOT("https://maps.app.goo.gl/ivM51wLEkSgrXEZZ8" = ""), HYPERLINK("https://maps.app.goo.gl/ivM51wLEkSgrXEZZ8", "موقع"), "")</f>
        <v>موقع</v>
      </c>
      <c r="P63" s="15">
        <v>21000</v>
      </c>
      <c r="Q63" s="15" t="s">
        <v>142</v>
      </c>
      <c r="R63" s="24" t="s">
        <v>2601</v>
      </c>
    </row>
    <row r="64" spans="1:18" s="18" customFormat="1" ht="50.4" x14ac:dyDescent="0.3">
      <c r="A64" s="15" t="s">
        <v>143</v>
      </c>
      <c r="B64" s="15" t="s">
        <v>20</v>
      </c>
      <c r="C64" s="15" t="s">
        <v>54</v>
      </c>
      <c r="D64" s="15" t="s">
        <v>22</v>
      </c>
      <c r="E64" s="15" t="s">
        <v>23</v>
      </c>
      <c r="F64" s="15" t="s">
        <v>55</v>
      </c>
      <c r="G64" s="15" t="s">
        <v>144</v>
      </c>
      <c r="H64" s="15" t="s">
        <v>57</v>
      </c>
      <c r="I64" s="15">
        <v>251</v>
      </c>
      <c r="J64" s="15">
        <v>121</v>
      </c>
      <c r="K64" s="15" t="s">
        <v>75</v>
      </c>
      <c r="L64" s="15" t="s">
        <v>145</v>
      </c>
      <c r="M64" s="16" t="s">
        <v>2576</v>
      </c>
      <c r="N64" s="16" t="s">
        <v>2576</v>
      </c>
      <c r="O64" s="17" t="str">
        <f>IF(NOT("https://maps.app.goo.gl/8CfoQbUqLcogbtar5" = ""), HYPERLINK("https://maps.app.goo.gl/8CfoQbUqLcogbtar5", "موقع"), "")</f>
        <v>موقع</v>
      </c>
      <c r="P64" s="15">
        <v>21000</v>
      </c>
      <c r="Q64" s="15" t="s">
        <v>146</v>
      </c>
      <c r="R64" s="24" t="s">
        <v>2602</v>
      </c>
    </row>
    <row r="65" spans="1:18" s="18" customFormat="1" ht="100.8" x14ac:dyDescent="0.3">
      <c r="A65" s="15" t="s">
        <v>147</v>
      </c>
      <c r="B65" s="15" t="s">
        <v>20</v>
      </c>
      <c r="C65" s="15" t="s">
        <v>54</v>
      </c>
      <c r="D65" s="15" t="s">
        <v>22</v>
      </c>
      <c r="E65" s="15" t="s">
        <v>23</v>
      </c>
      <c r="F65" s="15" t="s">
        <v>24</v>
      </c>
      <c r="G65" s="15" t="s">
        <v>148</v>
      </c>
      <c r="H65" s="15" t="s">
        <v>149</v>
      </c>
      <c r="I65" s="15">
        <v>973</v>
      </c>
      <c r="J65" s="15">
        <v>131</v>
      </c>
      <c r="K65" s="15" t="s">
        <v>50</v>
      </c>
      <c r="L65" s="15" t="s">
        <v>150</v>
      </c>
      <c r="M65" s="16" t="s">
        <v>2576</v>
      </c>
      <c r="N65" s="16" t="s">
        <v>2576</v>
      </c>
      <c r="O65" s="17" t="str">
        <f>IF(NOT("https://maps.app.goo.gl/XxBa8rnSbA42apRNA" = ""), HYPERLINK("https://maps.app.goo.gl/XxBa8rnSbA42apRNA", "موقع"), "")</f>
        <v>موقع</v>
      </c>
      <c r="P65" s="15">
        <v>23000</v>
      </c>
      <c r="Q65" s="15" t="s">
        <v>151</v>
      </c>
      <c r="R65" s="24" t="s">
        <v>2603</v>
      </c>
    </row>
    <row r="66" spans="1:18" s="18" customFormat="1" ht="50.4" x14ac:dyDescent="0.3">
      <c r="A66" s="15" t="s">
        <v>152</v>
      </c>
      <c r="B66" s="15" t="s">
        <v>20</v>
      </c>
      <c r="C66" s="15" t="s">
        <v>54</v>
      </c>
      <c r="D66" s="15" t="s">
        <v>22</v>
      </c>
      <c r="E66" s="15" t="s">
        <v>23</v>
      </c>
      <c r="F66" s="15" t="s">
        <v>153</v>
      </c>
      <c r="G66" s="15" t="s">
        <v>154</v>
      </c>
      <c r="H66" s="15" t="s">
        <v>149</v>
      </c>
      <c r="I66" s="15">
        <v>757</v>
      </c>
      <c r="J66" s="15">
        <v>-112</v>
      </c>
      <c r="K66" s="15" t="s">
        <v>27</v>
      </c>
      <c r="L66" s="15" t="s">
        <v>155</v>
      </c>
      <c r="M66" s="16" t="s">
        <v>2576</v>
      </c>
      <c r="N66" s="16" t="s">
        <v>2576</v>
      </c>
      <c r="O66" s="16" t="s">
        <v>2576</v>
      </c>
      <c r="P66" s="15">
        <v>27000</v>
      </c>
      <c r="Q66" s="15" t="s">
        <v>156</v>
      </c>
      <c r="R66" s="24" t="s">
        <v>2604</v>
      </c>
    </row>
    <row r="67" spans="1:18" s="18" customFormat="1" ht="100.8" x14ac:dyDescent="0.3">
      <c r="A67" s="15" t="s">
        <v>157</v>
      </c>
      <c r="B67" s="15" t="s">
        <v>20</v>
      </c>
      <c r="C67" s="15" t="s">
        <v>54</v>
      </c>
      <c r="D67" s="15" t="s">
        <v>22</v>
      </c>
      <c r="E67" s="15" t="s">
        <v>23</v>
      </c>
      <c r="F67" s="15" t="s">
        <v>24</v>
      </c>
      <c r="G67" s="15" t="s">
        <v>158</v>
      </c>
      <c r="H67" s="15" t="s">
        <v>159</v>
      </c>
      <c r="I67" s="15">
        <v>1158</v>
      </c>
      <c r="J67" s="15">
        <v>132</v>
      </c>
      <c r="K67" s="15" t="s">
        <v>50</v>
      </c>
      <c r="L67" s="15" t="s">
        <v>160</v>
      </c>
      <c r="M67" s="16" t="s">
        <v>2576</v>
      </c>
      <c r="N67" s="16" t="s">
        <v>2576</v>
      </c>
      <c r="O67" s="17" t="str">
        <f>IF(NOT("https://maps.app.goo.gl/L5sfg8uGv3JRWrX9A" = ""), HYPERLINK("https://maps.app.goo.gl/L5sfg8uGv3JRWrX9A", "موقع"), "")</f>
        <v>موقع</v>
      </c>
      <c r="P67" s="15">
        <v>29000</v>
      </c>
      <c r="Q67" s="15" t="s">
        <v>161</v>
      </c>
      <c r="R67" s="24" t="s">
        <v>2605</v>
      </c>
    </row>
    <row r="68" spans="1:18" s="18" customFormat="1" ht="100.8" x14ac:dyDescent="0.3">
      <c r="A68" s="15" t="s">
        <v>162</v>
      </c>
      <c r="B68" s="15" t="s">
        <v>20</v>
      </c>
      <c r="C68" s="15" t="s">
        <v>54</v>
      </c>
      <c r="D68" s="15" t="s">
        <v>22</v>
      </c>
      <c r="E68" s="15" t="s">
        <v>23</v>
      </c>
      <c r="F68" s="15" t="s">
        <v>153</v>
      </c>
      <c r="G68" s="15" t="s">
        <v>154</v>
      </c>
      <c r="H68" s="15" t="s">
        <v>163</v>
      </c>
      <c r="I68" s="15">
        <v>757</v>
      </c>
      <c r="J68" s="15">
        <v>132</v>
      </c>
      <c r="K68" s="15" t="s">
        <v>50</v>
      </c>
      <c r="L68" s="15" t="s">
        <v>155</v>
      </c>
      <c r="M68" s="17" t="str">
        <f>IF(NOT("https://youtu.be/opZG8EsqJq4" = ""), HYPERLINK("https://youtu.be/opZG8EsqJq4", "فيديو"), "")</f>
        <v>فيديو</v>
      </c>
      <c r="N68" s="17" t="str">
        <f>IF(NOT("https://truemarkets3d.net/3d-virtual-tour/housingbank-realestate/phase3/aq-re-100669/index.html" = ""), HYPERLINK("https://truemarkets3d.net/3d-virtual-tour/housingbank-realestate/phase3/aq-re-100669/index.html", "جولة"), "")</f>
        <v>جولة</v>
      </c>
      <c r="O68" s="17" t="str">
        <f>IF(NOT("https://maps.app.goo.gl/VpigZNcwwamvb6Sx5" = ""), HYPERLINK("https://maps.app.goo.gl/VpigZNcwwamvb6Sx5", "موقع"), "")</f>
        <v>موقع</v>
      </c>
      <c r="P68" s="15">
        <v>30000</v>
      </c>
      <c r="Q68" s="15" t="s">
        <v>164</v>
      </c>
      <c r="R68" s="24" t="s">
        <v>2606</v>
      </c>
    </row>
    <row r="69" spans="1:18" s="18" customFormat="1" ht="84" x14ac:dyDescent="0.3">
      <c r="A69" s="15" t="s">
        <v>165</v>
      </c>
      <c r="B69" s="15" t="s">
        <v>20</v>
      </c>
      <c r="C69" s="15" t="s">
        <v>54</v>
      </c>
      <c r="D69" s="15" t="s">
        <v>22</v>
      </c>
      <c r="E69" s="15" t="s">
        <v>23</v>
      </c>
      <c r="F69" s="15" t="s">
        <v>24</v>
      </c>
      <c r="G69" s="15" t="s">
        <v>25</v>
      </c>
      <c r="H69" s="15" t="s">
        <v>26</v>
      </c>
      <c r="I69" s="15">
        <v>1492</v>
      </c>
      <c r="J69" s="15">
        <v>232</v>
      </c>
      <c r="K69" s="15" t="s">
        <v>50</v>
      </c>
      <c r="L69" s="15" t="s">
        <v>166</v>
      </c>
      <c r="M69" s="16" t="s">
        <v>2576</v>
      </c>
      <c r="N69" s="16" t="s">
        <v>2576</v>
      </c>
      <c r="O69" s="17" t="str">
        <f>IF(NOT("https://maps.app.goo.gl/SB8wU69enw42vbf58" = ""), HYPERLINK("https://maps.app.goo.gl/SB8wU69enw42vbf58", "موقع"), "")</f>
        <v>موقع</v>
      </c>
      <c r="P69" s="15">
        <v>33000</v>
      </c>
      <c r="Q69" s="15" t="s">
        <v>167</v>
      </c>
      <c r="R69" s="24" t="s">
        <v>2607</v>
      </c>
    </row>
    <row r="70" spans="1:18" s="18" customFormat="1" ht="50.4" x14ac:dyDescent="0.3">
      <c r="A70" s="15" t="s">
        <v>168</v>
      </c>
      <c r="B70" s="15" t="s">
        <v>20</v>
      </c>
      <c r="C70" s="15" t="s">
        <v>54</v>
      </c>
      <c r="D70" s="15" t="s">
        <v>22</v>
      </c>
      <c r="E70" s="15" t="s">
        <v>23</v>
      </c>
      <c r="F70" s="15" t="s">
        <v>24</v>
      </c>
      <c r="G70" s="15" t="s">
        <v>169</v>
      </c>
      <c r="H70" s="15" t="s">
        <v>170</v>
      </c>
      <c r="I70" s="15">
        <v>1843</v>
      </c>
      <c r="J70" s="15">
        <v>201</v>
      </c>
      <c r="K70" s="15" t="s">
        <v>41</v>
      </c>
      <c r="L70" s="15" t="s">
        <v>102</v>
      </c>
      <c r="M70" s="16" t="s">
        <v>2576</v>
      </c>
      <c r="N70" s="16" t="s">
        <v>2576</v>
      </c>
      <c r="O70" s="16" t="s">
        <v>2576</v>
      </c>
      <c r="P70" s="15">
        <v>33000</v>
      </c>
      <c r="Q70" s="15" t="s">
        <v>171</v>
      </c>
      <c r="R70" s="24" t="s">
        <v>2608</v>
      </c>
    </row>
    <row r="71" spans="1:18" s="18" customFormat="1" ht="100.8" x14ac:dyDescent="0.3">
      <c r="A71" s="15" t="s">
        <v>172</v>
      </c>
      <c r="B71" s="15" t="s">
        <v>20</v>
      </c>
      <c r="C71" s="15" t="s">
        <v>54</v>
      </c>
      <c r="D71" s="15" t="s">
        <v>22</v>
      </c>
      <c r="E71" s="15" t="s">
        <v>23</v>
      </c>
      <c r="F71" s="15" t="s">
        <v>55</v>
      </c>
      <c r="G71" s="15" t="s">
        <v>173</v>
      </c>
      <c r="H71" s="15" t="s">
        <v>57</v>
      </c>
      <c r="I71" s="15">
        <v>539</v>
      </c>
      <c r="J71" s="15">
        <v>102</v>
      </c>
      <c r="K71" s="15" t="s">
        <v>41</v>
      </c>
      <c r="L71" s="15" t="s">
        <v>174</v>
      </c>
      <c r="M71" s="16" t="s">
        <v>2576</v>
      </c>
      <c r="N71" s="16" t="s">
        <v>2576</v>
      </c>
      <c r="O71" s="17" t="str">
        <f>IF(NOT("https://maps.app.goo.gl/MgPEvYNVbhj5CJcv5" = ""), HYPERLINK("https://maps.app.goo.gl/MgPEvYNVbhj5CJcv5", "موقع"), "")</f>
        <v>موقع</v>
      </c>
      <c r="P71" s="15">
        <v>34000</v>
      </c>
      <c r="Q71" s="15" t="s">
        <v>175</v>
      </c>
      <c r="R71" s="24" t="s">
        <v>2609</v>
      </c>
    </row>
    <row r="72" spans="1:18" s="18" customFormat="1" ht="100.8" x14ac:dyDescent="0.3">
      <c r="A72" s="15" t="s">
        <v>176</v>
      </c>
      <c r="B72" s="15" t="s">
        <v>20</v>
      </c>
      <c r="C72" s="15" t="s">
        <v>54</v>
      </c>
      <c r="D72" s="15" t="s">
        <v>22</v>
      </c>
      <c r="E72" s="15" t="s">
        <v>177</v>
      </c>
      <c r="F72" s="15" t="s">
        <v>178</v>
      </c>
      <c r="G72" s="15" t="s">
        <v>179</v>
      </c>
      <c r="H72" s="15" t="s">
        <v>180</v>
      </c>
      <c r="I72" s="15">
        <v>254</v>
      </c>
      <c r="J72" s="15">
        <v>111</v>
      </c>
      <c r="K72" s="15" t="s">
        <v>32</v>
      </c>
      <c r="L72" s="15" t="s">
        <v>181</v>
      </c>
      <c r="M72" s="16" t="s">
        <v>2576</v>
      </c>
      <c r="N72" s="16" t="s">
        <v>2576</v>
      </c>
      <c r="O72" s="16" t="s">
        <v>2576</v>
      </c>
      <c r="P72" s="15">
        <v>35000</v>
      </c>
      <c r="Q72" s="15" t="s">
        <v>182</v>
      </c>
      <c r="R72" s="24" t="s">
        <v>2610</v>
      </c>
    </row>
    <row r="73" spans="1:18" s="18" customFormat="1" ht="100.8" x14ac:dyDescent="0.3">
      <c r="A73" s="15" t="s">
        <v>183</v>
      </c>
      <c r="B73" s="15" t="s">
        <v>20</v>
      </c>
      <c r="C73" s="15" t="s">
        <v>54</v>
      </c>
      <c r="D73" s="15" t="s">
        <v>22</v>
      </c>
      <c r="E73" s="15" t="s">
        <v>23</v>
      </c>
      <c r="F73" s="15" t="s">
        <v>24</v>
      </c>
      <c r="G73" s="15" t="s">
        <v>184</v>
      </c>
      <c r="H73" s="15" t="s">
        <v>185</v>
      </c>
      <c r="I73" s="15">
        <v>127</v>
      </c>
      <c r="J73" s="15">
        <v>-101</v>
      </c>
      <c r="K73" s="15" t="s">
        <v>27</v>
      </c>
      <c r="L73" s="15" t="s">
        <v>186</v>
      </c>
      <c r="M73" s="16" t="s">
        <v>2576</v>
      </c>
      <c r="N73" s="17" t="str">
        <f>IF(NOT("https://truemarkets3d.net/3d-virtual-tour/housingbank-realestate/phase3/aq-re-100107/index.html" = ""), HYPERLINK("https://truemarkets3d.net/3d-virtual-tour/housingbank-realestate/phase3/aq-re-100107/index.html", "جولة"), "")</f>
        <v>جولة</v>
      </c>
      <c r="O73" s="17" t="str">
        <f>IF(NOT("https://maps.app.goo.gl/UCxzHEFFf2i1wE8n7" = ""), HYPERLINK("https://maps.app.goo.gl/UCxzHEFFf2i1wE8n7", "موقع"), "")</f>
        <v>موقع</v>
      </c>
      <c r="P73" s="15">
        <v>35000</v>
      </c>
      <c r="Q73" s="15" t="s">
        <v>187</v>
      </c>
      <c r="R73" s="24" t="s">
        <v>2611</v>
      </c>
    </row>
    <row r="74" spans="1:18" s="18" customFormat="1" ht="100.8" x14ac:dyDescent="0.3">
      <c r="A74" s="15" t="s">
        <v>188</v>
      </c>
      <c r="B74" s="15" t="s">
        <v>20</v>
      </c>
      <c r="C74" s="15" t="s">
        <v>54</v>
      </c>
      <c r="D74" s="15" t="s">
        <v>22</v>
      </c>
      <c r="E74" s="15" t="s">
        <v>23</v>
      </c>
      <c r="F74" s="15" t="s">
        <v>24</v>
      </c>
      <c r="G74" s="15" t="s">
        <v>189</v>
      </c>
      <c r="H74" s="15" t="s">
        <v>170</v>
      </c>
      <c r="I74" s="15">
        <v>1248</v>
      </c>
      <c r="J74" s="15">
        <v>-102</v>
      </c>
      <c r="K74" s="15" t="s">
        <v>27</v>
      </c>
      <c r="L74" s="15" t="s">
        <v>190</v>
      </c>
      <c r="M74" s="16" t="s">
        <v>2576</v>
      </c>
      <c r="N74" s="16" t="s">
        <v>2576</v>
      </c>
      <c r="O74" s="16" t="s">
        <v>2576</v>
      </c>
      <c r="P74" s="15">
        <v>35000</v>
      </c>
      <c r="Q74" s="15" t="s">
        <v>191</v>
      </c>
      <c r="R74" s="24" t="s">
        <v>2612</v>
      </c>
    </row>
    <row r="75" spans="1:18" s="18" customFormat="1" ht="100.8" x14ac:dyDescent="0.3">
      <c r="A75" s="15" t="s">
        <v>192</v>
      </c>
      <c r="B75" s="15" t="s">
        <v>20</v>
      </c>
      <c r="C75" s="15" t="s">
        <v>54</v>
      </c>
      <c r="D75" s="15" t="s">
        <v>22</v>
      </c>
      <c r="E75" s="15" t="s">
        <v>23</v>
      </c>
      <c r="F75" s="15" t="s">
        <v>55</v>
      </c>
      <c r="G75" s="15" t="s">
        <v>193</v>
      </c>
      <c r="H75" s="15" t="s">
        <v>194</v>
      </c>
      <c r="I75" s="15">
        <v>938</v>
      </c>
      <c r="J75" s="15">
        <v>132</v>
      </c>
      <c r="K75" s="15" t="s">
        <v>50</v>
      </c>
      <c r="L75" s="15" t="s">
        <v>195</v>
      </c>
      <c r="M75" s="16" t="s">
        <v>2576</v>
      </c>
      <c r="N75" s="16" t="s">
        <v>2576</v>
      </c>
      <c r="O75" s="17" t="str">
        <f>IF(NOT("https://maps.app.goo.gl/CywpcXF2vXUGb5jy8" = ""), HYPERLINK("https://maps.app.goo.gl/CywpcXF2vXUGb5jy8", "موقع"), "")</f>
        <v>موقع</v>
      </c>
      <c r="P75" s="15">
        <v>35000</v>
      </c>
      <c r="Q75" s="15" t="s">
        <v>196</v>
      </c>
      <c r="R75" s="24" t="s">
        <v>2613</v>
      </c>
    </row>
    <row r="76" spans="1:18" s="18" customFormat="1" ht="100.8" x14ac:dyDescent="0.3">
      <c r="A76" s="15" t="s">
        <v>197</v>
      </c>
      <c r="B76" s="15" t="s">
        <v>20</v>
      </c>
      <c r="C76" s="15" t="s">
        <v>54</v>
      </c>
      <c r="D76" s="15" t="s">
        <v>22</v>
      </c>
      <c r="E76" s="15" t="s">
        <v>23</v>
      </c>
      <c r="F76" s="15" t="s">
        <v>24</v>
      </c>
      <c r="G76" s="15" t="s">
        <v>25</v>
      </c>
      <c r="H76" s="15" t="s">
        <v>198</v>
      </c>
      <c r="I76" s="15">
        <v>1492</v>
      </c>
      <c r="J76" s="15">
        <v>211</v>
      </c>
      <c r="K76" s="15" t="s">
        <v>32</v>
      </c>
      <c r="L76" s="15" t="s">
        <v>134</v>
      </c>
      <c r="M76" s="16" t="s">
        <v>2576</v>
      </c>
      <c r="N76" s="16" t="s">
        <v>2576</v>
      </c>
      <c r="O76" s="17" t="str">
        <f>IF(NOT("https://maps.app.goo.gl/PqnSnwt8DfiB5KAq9" = ""), HYPERLINK("https://maps.app.goo.gl/PqnSnwt8DfiB5KAq9", "موقع"), "")</f>
        <v>موقع</v>
      </c>
      <c r="P76" s="15">
        <v>36000</v>
      </c>
      <c r="Q76" s="15" t="s">
        <v>199</v>
      </c>
      <c r="R76" s="24" t="s">
        <v>2614</v>
      </c>
    </row>
    <row r="77" spans="1:18" s="18" customFormat="1" ht="100.8" x14ac:dyDescent="0.3">
      <c r="A77" s="15" t="s">
        <v>200</v>
      </c>
      <c r="B77" s="15" t="s">
        <v>20</v>
      </c>
      <c r="C77" s="15" t="s">
        <v>54</v>
      </c>
      <c r="D77" s="15" t="s">
        <v>22</v>
      </c>
      <c r="E77" s="15" t="s">
        <v>23</v>
      </c>
      <c r="F77" s="15" t="s">
        <v>24</v>
      </c>
      <c r="G77" s="15" t="s">
        <v>158</v>
      </c>
      <c r="H77" s="15" t="s">
        <v>201</v>
      </c>
      <c r="I77" s="15">
        <v>1713</v>
      </c>
      <c r="J77" s="15">
        <v>141</v>
      </c>
      <c r="K77" s="15" t="s">
        <v>202</v>
      </c>
      <c r="L77" s="15" t="s">
        <v>203</v>
      </c>
      <c r="M77" s="16" t="s">
        <v>2576</v>
      </c>
      <c r="N77" s="16" t="s">
        <v>2576</v>
      </c>
      <c r="O77" s="17" t="str">
        <f>IF(NOT("https://maps.app.goo.gl/4Un7d65BjFH1Tevo6" = ""), HYPERLINK("https://maps.app.goo.gl/4Un7d65BjFH1Tevo6", "موقع"), "")</f>
        <v>موقع</v>
      </c>
      <c r="P77" s="15">
        <v>36000</v>
      </c>
      <c r="Q77" s="15" t="s">
        <v>204</v>
      </c>
      <c r="R77" s="24" t="s">
        <v>2615</v>
      </c>
    </row>
    <row r="78" spans="1:18" s="18" customFormat="1" ht="100.8" x14ac:dyDescent="0.3">
      <c r="A78" s="15" t="s">
        <v>205</v>
      </c>
      <c r="B78" s="15" t="s">
        <v>20</v>
      </c>
      <c r="C78" s="15" t="s">
        <v>54</v>
      </c>
      <c r="D78" s="15" t="s">
        <v>22</v>
      </c>
      <c r="E78" s="15" t="s">
        <v>23</v>
      </c>
      <c r="F78" s="15" t="s">
        <v>24</v>
      </c>
      <c r="G78" s="15" t="s">
        <v>169</v>
      </c>
      <c r="H78" s="15" t="s">
        <v>170</v>
      </c>
      <c r="I78" s="15">
        <v>1846</v>
      </c>
      <c r="J78" s="15">
        <v>232</v>
      </c>
      <c r="K78" s="15" t="s">
        <v>50</v>
      </c>
      <c r="L78" s="15" t="s">
        <v>206</v>
      </c>
      <c r="M78" s="16" t="s">
        <v>2576</v>
      </c>
      <c r="N78" s="16" t="s">
        <v>2576</v>
      </c>
      <c r="O78" s="17" t="str">
        <f>IF(NOT("https://maps.app.goo.gl/TPrXW1EDVQ2waGSw8" = ""), HYPERLINK("https://maps.app.goo.gl/TPrXW1EDVQ2waGSw8", "موقع"), "")</f>
        <v>موقع</v>
      </c>
      <c r="P78" s="15">
        <v>37000</v>
      </c>
      <c r="Q78" s="15" t="s">
        <v>207</v>
      </c>
      <c r="R78" s="24" t="s">
        <v>2616</v>
      </c>
    </row>
    <row r="79" spans="1:18" s="18" customFormat="1" ht="100.8" x14ac:dyDescent="0.3">
      <c r="A79" s="15" t="s">
        <v>208</v>
      </c>
      <c r="B79" s="15" t="s">
        <v>20</v>
      </c>
      <c r="C79" s="15" t="s">
        <v>54</v>
      </c>
      <c r="D79" s="15" t="s">
        <v>22</v>
      </c>
      <c r="E79" s="15" t="s">
        <v>111</v>
      </c>
      <c r="F79" s="15" t="s">
        <v>209</v>
      </c>
      <c r="G79" s="15" t="s">
        <v>210</v>
      </c>
      <c r="H79" s="15" t="s">
        <v>107</v>
      </c>
      <c r="I79" s="15">
        <v>180</v>
      </c>
      <c r="J79" s="15">
        <v>0</v>
      </c>
      <c r="K79" s="15" t="s">
        <v>32</v>
      </c>
      <c r="L79" s="15" t="s">
        <v>211</v>
      </c>
      <c r="M79" s="16" t="s">
        <v>2576</v>
      </c>
      <c r="N79" s="16" t="s">
        <v>2576</v>
      </c>
      <c r="O79" s="17" t="str">
        <f>IF(NOT("https://maps.app.goo.gl/dGHq4epphoU5ULie9" = ""), HYPERLINK("https://maps.app.goo.gl/dGHq4epphoU5ULie9", "موقع"), "")</f>
        <v>موقع</v>
      </c>
      <c r="P79" s="15">
        <v>37000</v>
      </c>
      <c r="Q79" s="15" t="s">
        <v>212</v>
      </c>
      <c r="R79" s="24" t="s">
        <v>2617</v>
      </c>
    </row>
    <row r="80" spans="1:18" s="18" customFormat="1" ht="100.8" x14ac:dyDescent="0.3">
      <c r="A80" s="15" t="s">
        <v>213</v>
      </c>
      <c r="B80" s="15" t="s">
        <v>20</v>
      </c>
      <c r="C80" s="15" t="s">
        <v>54</v>
      </c>
      <c r="D80" s="15" t="s">
        <v>22</v>
      </c>
      <c r="E80" s="15" t="s">
        <v>23</v>
      </c>
      <c r="F80" s="15" t="s">
        <v>214</v>
      </c>
      <c r="G80" s="15" t="s">
        <v>215</v>
      </c>
      <c r="H80" s="15" t="s">
        <v>149</v>
      </c>
      <c r="I80" s="15">
        <v>803</v>
      </c>
      <c r="J80" s="15">
        <v>121</v>
      </c>
      <c r="K80" s="15" t="s">
        <v>75</v>
      </c>
      <c r="L80" s="15" t="s">
        <v>216</v>
      </c>
      <c r="M80" s="16" t="s">
        <v>2576</v>
      </c>
      <c r="N80" s="16" t="s">
        <v>2576</v>
      </c>
      <c r="O80" s="16" t="s">
        <v>2576</v>
      </c>
      <c r="P80" s="15">
        <v>38000</v>
      </c>
      <c r="Q80" s="15" t="s">
        <v>217</v>
      </c>
      <c r="R80" s="24" t="s">
        <v>2618</v>
      </c>
    </row>
    <row r="81" spans="1:18" s="18" customFormat="1" ht="100.8" x14ac:dyDescent="0.3">
      <c r="A81" s="15" t="s">
        <v>218</v>
      </c>
      <c r="B81" s="15" t="s">
        <v>20</v>
      </c>
      <c r="C81" s="15" t="s">
        <v>54</v>
      </c>
      <c r="D81" s="15" t="s">
        <v>22</v>
      </c>
      <c r="E81" s="15" t="s">
        <v>23</v>
      </c>
      <c r="F81" s="15" t="s">
        <v>24</v>
      </c>
      <c r="G81" s="15" t="s">
        <v>189</v>
      </c>
      <c r="H81" s="15" t="s">
        <v>185</v>
      </c>
      <c r="I81" s="15">
        <v>726</v>
      </c>
      <c r="J81" s="15">
        <v>121</v>
      </c>
      <c r="K81" s="15" t="s">
        <v>75</v>
      </c>
      <c r="L81" s="15" t="s">
        <v>219</v>
      </c>
      <c r="M81" s="16" t="s">
        <v>2576</v>
      </c>
      <c r="N81" s="16" t="s">
        <v>2576</v>
      </c>
      <c r="O81" s="17" t="str">
        <f>IF(NOT("https://maps.app.goo.gl/36qMcFscNxQ49Z9y9" = ""), HYPERLINK("https://maps.app.goo.gl/36qMcFscNxQ49Z9y9", "موقع"), "")</f>
        <v>موقع</v>
      </c>
      <c r="P81" s="15">
        <v>39000</v>
      </c>
      <c r="Q81" s="15" t="s">
        <v>220</v>
      </c>
      <c r="R81" s="24" t="s">
        <v>2619</v>
      </c>
    </row>
    <row r="82" spans="1:18" s="18" customFormat="1" ht="100.8" x14ac:dyDescent="0.3">
      <c r="A82" s="15" t="s">
        <v>221</v>
      </c>
      <c r="B82" s="15" t="s">
        <v>20</v>
      </c>
      <c r="C82" s="15" t="s">
        <v>54</v>
      </c>
      <c r="D82" s="15" t="s">
        <v>22</v>
      </c>
      <c r="E82" s="15" t="s">
        <v>23</v>
      </c>
      <c r="F82" s="15" t="s">
        <v>153</v>
      </c>
      <c r="G82" s="15" t="s">
        <v>154</v>
      </c>
      <c r="H82" s="15" t="s">
        <v>163</v>
      </c>
      <c r="I82" s="15">
        <v>757</v>
      </c>
      <c r="J82" s="15">
        <v>121</v>
      </c>
      <c r="K82" s="15" t="s">
        <v>75</v>
      </c>
      <c r="L82" s="15" t="s">
        <v>155</v>
      </c>
      <c r="M82" s="16" t="s">
        <v>2576</v>
      </c>
      <c r="N82" s="16" t="s">
        <v>2576</v>
      </c>
      <c r="O82" s="17" t="str">
        <f>IF(NOT("https://maps.app.goo.gl/v8QHAXyBeqSDBGHJ9" = ""), HYPERLINK("https://maps.app.goo.gl/v8QHAXyBeqSDBGHJ9", "موقع"), "")</f>
        <v>موقع</v>
      </c>
      <c r="P82" s="15">
        <v>40000</v>
      </c>
      <c r="Q82" s="15" t="s">
        <v>222</v>
      </c>
      <c r="R82" s="24" t="s">
        <v>2620</v>
      </c>
    </row>
    <row r="83" spans="1:18" s="18" customFormat="1" ht="67.2" x14ac:dyDescent="0.3">
      <c r="A83" s="15" t="s">
        <v>223</v>
      </c>
      <c r="B83" s="15" t="s">
        <v>20</v>
      </c>
      <c r="C83" s="15" t="s">
        <v>54</v>
      </c>
      <c r="D83" s="15" t="s">
        <v>22</v>
      </c>
      <c r="E83" s="15" t="s">
        <v>23</v>
      </c>
      <c r="F83" s="15" t="s">
        <v>24</v>
      </c>
      <c r="G83" s="15" t="s">
        <v>224</v>
      </c>
      <c r="H83" s="15" t="s">
        <v>225</v>
      </c>
      <c r="I83" s="15">
        <v>468</v>
      </c>
      <c r="J83" s="15">
        <v>133</v>
      </c>
      <c r="K83" s="15" t="s">
        <v>50</v>
      </c>
      <c r="L83" s="15" t="s">
        <v>121</v>
      </c>
      <c r="M83" s="16" t="s">
        <v>2576</v>
      </c>
      <c r="N83" s="17" t="str">
        <f>IF(NOT("https://truemarkets3d.net/3d-virtual-tour/housingbank-realestate/phase3/aq-re-100296/index.html" = ""), HYPERLINK("https://truemarkets3d.net/3d-virtual-tour/housingbank-realestate/phase3/aq-re-100296/index.html", "جولة"), "")</f>
        <v>جولة</v>
      </c>
      <c r="O83" s="17" t="str">
        <f>IF(NOT("https://maps.app.goo.gl/QtRiHXsHnoZrmjbS7" = ""), HYPERLINK("https://maps.app.goo.gl/QtRiHXsHnoZrmjbS7", "موقع"), "")</f>
        <v>موقع</v>
      </c>
      <c r="P83" s="15">
        <v>41000</v>
      </c>
      <c r="Q83" s="15" t="s">
        <v>226</v>
      </c>
      <c r="R83" s="24" t="s">
        <v>2621</v>
      </c>
    </row>
    <row r="84" spans="1:18" s="18" customFormat="1" ht="100.8" x14ac:dyDescent="0.3">
      <c r="A84" s="15" t="s">
        <v>227</v>
      </c>
      <c r="B84" s="15" t="s">
        <v>20</v>
      </c>
      <c r="C84" s="15" t="s">
        <v>54</v>
      </c>
      <c r="D84" s="15" t="s">
        <v>22</v>
      </c>
      <c r="E84" s="15" t="s">
        <v>23</v>
      </c>
      <c r="F84" s="15" t="s">
        <v>105</v>
      </c>
      <c r="G84" s="15" t="s">
        <v>228</v>
      </c>
      <c r="H84" s="15" t="s">
        <v>107</v>
      </c>
      <c r="I84" s="15">
        <v>257</v>
      </c>
      <c r="J84" s="15">
        <v>212</v>
      </c>
      <c r="K84" s="15" t="s">
        <v>32</v>
      </c>
      <c r="L84" s="15" t="s">
        <v>229</v>
      </c>
      <c r="M84" s="16" t="s">
        <v>2576</v>
      </c>
      <c r="N84" s="16" t="s">
        <v>2576</v>
      </c>
      <c r="O84" s="17" t="str">
        <f>IF(NOT("https://maps.app.goo.gl/uaa27MgRyaTBNXWC6" = ""), HYPERLINK("https://maps.app.goo.gl/uaa27MgRyaTBNXWC6", "موقع"), "")</f>
        <v>موقع</v>
      </c>
      <c r="P84" s="15">
        <v>42000</v>
      </c>
      <c r="Q84" s="15" t="s">
        <v>230</v>
      </c>
      <c r="R84" s="24" t="s">
        <v>2622</v>
      </c>
    </row>
    <row r="85" spans="1:18" s="18" customFormat="1" ht="100.8" x14ac:dyDescent="0.3">
      <c r="A85" s="15" t="s">
        <v>231</v>
      </c>
      <c r="B85" s="15" t="s">
        <v>20</v>
      </c>
      <c r="C85" s="15" t="s">
        <v>54</v>
      </c>
      <c r="D85" s="15" t="s">
        <v>22</v>
      </c>
      <c r="E85" s="15" t="s">
        <v>23</v>
      </c>
      <c r="F85" s="15" t="s">
        <v>24</v>
      </c>
      <c r="G85" s="15" t="s">
        <v>232</v>
      </c>
      <c r="H85" s="15" t="s">
        <v>185</v>
      </c>
      <c r="I85" s="15">
        <v>625</v>
      </c>
      <c r="J85" s="15">
        <v>132</v>
      </c>
      <c r="K85" s="15" t="s">
        <v>50</v>
      </c>
      <c r="L85" s="15" t="s">
        <v>233</v>
      </c>
      <c r="M85" s="16" t="s">
        <v>2576</v>
      </c>
      <c r="N85" s="16" t="s">
        <v>2576</v>
      </c>
      <c r="O85" s="17" t="str">
        <f>IF(NOT("https://maps.app.goo.gl/GAujN5Ln8H6SXLUK6" = ""), HYPERLINK("https://maps.app.goo.gl/GAujN5Ln8H6SXLUK6", "موقع"), "")</f>
        <v>موقع</v>
      </c>
      <c r="P85" s="15">
        <v>43000</v>
      </c>
      <c r="Q85" s="15" t="s">
        <v>234</v>
      </c>
      <c r="R85" s="24" t="s">
        <v>2623</v>
      </c>
    </row>
    <row r="86" spans="1:18" s="18" customFormat="1" ht="100.8" x14ac:dyDescent="0.3">
      <c r="A86" s="15" t="s">
        <v>235</v>
      </c>
      <c r="B86" s="15" t="s">
        <v>20</v>
      </c>
      <c r="C86" s="15" t="s">
        <v>54</v>
      </c>
      <c r="D86" s="15" t="s">
        <v>22</v>
      </c>
      <c r="E86" s="15" t="s">
        <v>23</v>
      </c>
      <c r="F86" s="15" t="s">
        <v>105</v>
      </c>
      <c r="G86" s="15" t="s">
        <v>228</v>
      </c>
      <c r="H86" s="15" t="s">
        <v>107</v>
      </c>
      <c r="I86" s="15">
        <v>349</v>
      </c>
      <c r="J86" s="15">
        <v>132</v>
      </c>
      <c r="K86" s="15" t="s">
        <v>50</v>
      </c>
      <c r="L86" s="15" t="s">
        <v>236</v>
      </c>
      <c r="M86" s="16" t="s">
        <v>2576</v>
      </c>
      <c r="N86" s="16" t="s">
        <v>2576</v>
      </c>
      <c r="O86" s="17" t="str">
        <f>IF(NOT("https://maps.app.goo.gl/f5s35FVrWbP37fTZ6" = ""), HYPERLINK("https://maps.app.goo.gl/f5s35FVrWbP37fTZ6", "موقع"), "")</f>
        <v>موقع</v>
      </c>
      <c r="P86" s="15">
        <v>46000</v>
      </c>
      <c r="Q86" s="15" t="s">
        <v>237</v>
      </c>
      <c r="R86" s="24" t="s">
        <v>2624</v>
      </c>
    </row>
    <row r="87" spans="1:18" s="18" customFormat="1" ht="100.8" x14ac:dyDescent="0.3">
      <c r="A87" s="15" t="s">
        <v>238</v>
      </c>
      <c r="B87" s="15" t="s">
        <v>20</v>
      </c>
      <c r="C87" s="15" t="s">
        <v>54</v>
      </c>
      <c r="D87" s="15" t="s">
        <v>22</v>
      </c>
      <c r="E87" s="15" t="s">
        <v>23</v>
      </c>
      <c r="F87" s="15" t="s">
        <v>24</v>
      </c>
      <c r="G87" s="15" t="s">
        <v>239</v>
      </c>
      <c r="H87" s="15" t="s">
        <v>170</v>
      </c>
      <c r="I87" s="15">
        <v>305</v>
      </c>
      <c r="J87" s="15">
        <v>131</v>
      </c>
      <c r="K87" s="15" t="s">
        <v>50</v>
      </c>
      <c r="L87" s="15" t="s">
        <v>155</v>
      </c>
      <c r="M87" s="16" t="s">
        <v>2576</v>
      </c>
      <c r="N87" s="16" t="s">
        <v>2576</v>
      </c>
      <c r="O87" s="17" t="str">
        <f>IF(NOT("https://maps.app.goo.gl/vHFYZFYjc8xbosCz7" = ""), HYPERLINK("https://maps.app.goo.gl/vHFYZFYjc8xbosCz7", "موقع"), "")</f>
        <v>موقع</v>
      </c>
      <c r="P87" s="15">
        <v>46000</v>
      </c>
      <c r="Q87" s="15" t="s">
        <v>240</v>
      </c>
      <c r="R87" s="24" t="s">
        <v>2625</v>
      </c>
    </row>
    <row r="88" spans="1:18" s="18" customFormat="1" ht="67.2" x14ac:dyDescent="0.3">
      <c r="A88" s="15" t="s">
        <v>241</v>
      </c>
      <c r="B88" s="15" t="s">
        <v>20</v>
      </c>
      <c r="C88" s="15" t="s">
        <v>54</v>
      </c>
      <c r="D88" s="15" t="s">
        <v>22</v>
      </c>
      <c r="E88" s="15" t="s">
        <v>23</v>
      </c>
      <c r="F88" s="15" t="s">
        <v>242</v>
      </c>
      <c r="G88" s="15" t="s">
        <v>243</v>
      </c>
      <c r="H88" s="15" t="s">
        <v>244</v>
      </c>
      <c r="I88" s="15">
        <v>374</v>
      </c>
      <c r="J88" s="15">
        <v>101</v>
      </c>
      <c r="K88" s="15" t="s">
        <v>41</v>
      </c>
      <c r="L88" s="15" t="s">
        <v>155</v>
      </c>
      <c r="M88" s="16" t="s">
        <v>2576</v>
      </c>
      <c r="N88" s="17" t="str">
        <f>IF(NOT("https://truemarkets3d.net/3d-virtual-tour/housingbank-realestate/phase3/aq-re-100295/index.html" = ""), HYPERLINK("https://truemarkets3d.net/3d-virtual-tour/housingbank-realestate/phase3/aq-re-100295/index.html", "جولة"), "")</f>
        <v>جولة</v>
      </c>
      <c r="O88" s="16" t="s">
        <v>2576</v>
      </c>
      <c r="P88" s="15">
        <v>49000</v>
      </c>
      <c r="Q88" s="15" t="s">
        <v>245</v>
      </c>
      <c r="R88" s="24" t="s">
        <v>2626</v>
      </c>
    </row>
    <row r="89" spans="1:18" s="18" customFormat="1" ht="117.6" x14ac:dyDescent="0.3">
      <c r="A89" s="15" t="s">
        <v>246</v>
      </c>
      <c r="B89" s="15" t="s">
        <v>20</v>
      </c>
      <c r="C89" s="15" t="s">
        <v>54</v>
      </c>
      <c r="D89" s="15" t="s">
        <v>22</v>
      </c>
      <c r="E89" s="15" t="s">
        <v>23</v>
      </c>
      <c r="F89" s="15" t="s">
        <v>24</v>
      </c>
      <c r="G89" s="15" t="s">
        <v>224</v>
      </c>
      <c r="H89" s="15" t="s">
        <v>247</v>
      </c>
      <c r="I89" s="15">
        <v>842</v>
      </c>
      <c r="J89" s="15">
        <v>132</v>
      </c>
      <c r="K89" s="15" t="s">
        <v>50</v>
      </c>
      <c r="L89" s="15" t="s">
        <v>248</v>
      </c>
      <c r="M89" s="17" t="str">
        <f>IF(NOT("https://youtu.be/beTr7DsGWVw" = ""), HYPERLINK("https://youtu.be/beTr7DsGWVw", "فيديو"), "")</f>
        <v>فيديو</v>
      </c>
      <c r="N89" s="17" t="str">
        <f>IF(NOT("https://truemarkets3d.net/3d-virtual-tour/housingbank-realestate/phase3/aq-re-100661/index.html" = ""), HYPERLINK("https://truemarkets3d.net/3d-virtual-tour/housingbank-realestate/phase3/aq-re-100661/index.html", "جولة"), "")</f>
        <v>جولة</v>
      </c>
      <c r="O89" s="17" t="str">
        <f>IF(NOT("https://maps.app.goo.gl/pGAVMdEPoCjS4GaAA" = ""), HYPERLINK("https://maps.app.goo.gl/pGAVMdEPoCjS4GaAA", "موقع"), "")</f>
        <v>موقع</v>
      </c>
      <c r="P89" s="15">
        <v>52000</v>
      </c>
      <c r="Q89" s="15" t="s">
        <v>249</v>
      </c>
      <c r="R89" s="24" t="s">
        <v>2627</v>
      </c>
    </row>
    <row r="90" spans="1:18" s="18" customFormat="1" ht="100.8" x14ac:dyDescent="0.3">
      <c r="A90" s="15" t="s">
        <v>250</v>
      </c>
      <c r="B90" s="15" t="s">
        <v>20</v>
      </c>
      <c r="C90" s="15" t="s">
        <v>54</v>
      </c>
      <c r="D90" s="15" t="s">
        <v>22</v>
      </c>
      <c r="E90" s="15" t="s">
        <v>23</v>
      </c>
      <c r="F90" s="15" t="s">
        <v>105</v>
      </c>
      <c r="G90" s="15" t="s">
        <v>251</v>
      </c>
      <c r="H90" s="15" t="s">
        <v>107</v>
      </c>
      <c r="I90" s="15">
        <v>185</v>
      </c>
      <c r="J90" s="15">
        <v>111</v>
      </c>
      <c r="K90" s="15" t="s">
        <v>32</v>
      </c>
      <c r="L90" s="15" t="s">
        <v>252</v>
      </c>
      <c r="M90" s="16" t="s">
        <v>2576</v>
      </c>
      <c r="N90" s="16" t="s">
        <v>2576</v>
      </c>
      <c r="O90" s="17" t="str">
        <f>IF(NOT("https://maps.app.goo.gl/pHxLANYNf5vhEM3m9" = ""), HYPERLINK("https://maps.app.goo.gl/pHxLANYNf5vhEM3m9", "موقع"), "")</f>
        <v>موقع</v>
      </c>
      <c r="P90" s="15">
        <v>52000</v>
      </c>
      <c r="Q90" s="15" t="s">
        <v>253</v>
      </c>
      <c r="R90" s="24" t="s">
        <v>2628</v>
      </c>
    </row>
    <row r="91" spans="1:18" s="18" customFormat="1" ht="100.8" x14ac:dyDescent="0.3">
      <c r="A91" s="15" t="s">
        <v>254</v>
      </c>
      <c r="B91" s="15" t="s">
        <v>20</v>
      </c>
      <c r="C91" s="15" t="s">
        <v>54</v>
      </c>
      <c r="D91" s="15" t="s">
        <v>22</v>
      </c>
      <c r="E91" s="15" t="s">
        <v>23</v>
      </c>
      <c r="F91" s="15" t="s">
        <v>24</v>
      </c>
      <c r="G91" s="15" t="s">
        <v>184</v>
      </c>
      <c r="H91" s="15" t="s">
        <v>185</v>
      </c>
      <c r="I91" s="15">
        <v>454</v>
      </c>
      <c r="J91" s="15">
        <v>102</v>
      </c>
      <c r="K91" s="15" t="s">
        <v>41</v>
      </c>
      <c r="L91" s="15" t="s">
        <v>255</v>
      </c>
      <c r="M91" s="16" t="s">
        <v>2576</v>
      </c>
      <c r="N91" s="16" t="s">
        <v>2576</v>
      </c>
      <c r="O91" s="17" t="str">
        <f>IF(NOT("https://maps.app.goo.gl/2GDfBetfSssmAttz7" = ""), HYPERLINK("https://maps.app.goo.gl/2GDfBetfSssmAttz7", "موقع"), "")</f>
        <v>موقع</v>
      </c>
      <c r="P91" s="15">
        <v>60000</v>
      </c>
      <c r="Q91" s="15" t="s">
        <v>256</v>
      </c>
      <c r="R91" s="24" t="s">
        <v>2629</v>
      </c>
    </row>
    <row r="92" spans="1:18" s="18" customFormat="1" ht="117.6" x14ac:dyDescent="0.3">
      <c r="A92" s="15" t="s">
        <v>257</v>
      </c>
      <c r="B92" s="15" t="s">
        <v>20</v>
      </c>
      <c r="C92" s="15" t="s">
        <v>54</v>
      </c>
      <c r="D92" s="15" t="s">
        <v>22</v>
      </c>
      <c r="E92" s="15" t="s">
        <v>23</v>
      </c>
      <c r="F92" s="15" t="s">
        <v>214</v>
      </c>
      <c r="G92" s="15" t="s">
        <v>258</v>
      </c>
      <c r="H92" s="15" t="s">
        <v>149</v>
      </c>
      <c r="I92" s="15">
        <v>744</v>
      </c>
      <c r="J92" s="15">
        <v>102</v>
      </c>
      <c r="K92" s="15" t="s">
        <v>41</v>
      </c>
      <c r="L92" s="15" t="s">
        <v>259</v>
      </c>
      <c r="M92" s="17" t="str">
        <f>IF(NOT("https://youtu.be/D8Y4KRclEZE" = ""), HYPERLINK("https://youtu.be/D8Y4KRclEZE", "فيديو"), "")</f>
        <v>فيديو</v>
      </c>
      <c r="N92" s="17" t="str">
        <f>IF(NOT("https://truemarkets3d.net/3d-virtual-tour/housingbank-realestate/phase3/aq-re-100859/index.html" = ""), HYPERLINK("https://truemarkets3d.net/3d-virtual-tour/housingbank-realestate/phase3/aq-re-100859/index.html", "جولة"), "")</f>
        <v>جولة</v>
      </c>
      <c r="O92" s="17" t="str">
        <f>IF(NOT("https://maps.app.goo.gl/zSEA5XpME1wWKdWV7" = ""), HYPERLINK("https://maps.app.goo.gl/zSEA5XpME1wWKdWV7", "موقع"), "")</f>
        <v>موقع</v>
      </c>
      <c r="P92" s="15">
        <v>94000</v>
      </c>
      <c r="Q92" s="15" t="s">
        <v>260</v>
      </c>
      <c r="R92" s="24" t="s">
        <v>2630</v>
      </c>
    </row>
    <row r="93" spans="1:18" s="18" customFormat="1" ht="84" x14ac:dyDescent="0.3">
      <c r="A93" s="15" t="s">
        <v>508</v>
      </c>
      <c r="B93" s="15" t="s">
        <v>390</v>
      </c>
      <c r="C93" s="15" t="s">
        <v>391</v>
      </c>
      <c r="D93" s="15" t="s">
        <v>438</v>
      </c>
      <c r="E93" s="15" t="s">
        <v>469</v>
      </c>
      <c r="F93" s="15" t="s">
        <v>509</v>
      </c>
      <c r="G93" s="15" t="s">
        <v>510</v>
      </c>
      <c r="H93" s="15" t="s">
        <v>511</v>
      </c>
      <c r="I93" s="15">
        <v>1030</v>
      </c>
      <c r="J93" s="15">
        <v>0</v>
      </c>
      <c r="K93" s="15"/>
      <c r="L93" s="15" t="s">
        <v>512</v>
      </c>
      <c r="M93" s="16" t="s">
        <v>2576</v>
      </c>
      <c r="N93" s="17" t="str">
        <f>IF(NOT("https://truemarkets3d.net/3d-virtual-tour/housingbank-realestate/phase3/aq-re-100393/index.html" = ""), HYPERLINK("https://truemarkets3d.net/3d-virtual-tour/housingbank-realestate/phase3/aq-re-100393/index.html", "جولة"), "")</f>
        <v>جولة</v>
      </c>
      <c r="O93" s="17" t="str">
        <f>IF(NOT("https://maps.app.goo.gl/BUJsxtcTZ6v2LhbFA" = ""), HYPERLINK("https://maps.app.goo.gl/BUJsxtcTZ6v2LhbFA", "موقع"), "")</f>
        <v>موقع</v>
      </c>
      <c r="P93" s="15">
        <v>20000</v>
      </c>
      <c r="Q93" s="15" t="s">
        <v>513</v>
      </c>
      <c r="R93" s="24" t="s">
        <v>2683</v>
      </c>
    </row>
    <row r="94" spans="1:18" s="18" customFormat="1" ht="100.8" x14ac:dyDescent="0.3">
      <c r="A94" s="15" t="s">
        <v>514</v>
      </c>
      <c r="B94" s="15" t="s">
        <v>390</v>
      </c>
      <c r="C94" s="15" t="s">
        <v>391</v>
      </c>
      <c r="D94" s="15" t="s">
        <v>438</v>
      </c>
      <c r="E94" s="15" t="s">
        <v>469</v>
      </c>
      <c r="F94" s="15" t="s">
        <v>509</v>
      </c>
      <c r="G94" s="15" t="s">
        <v>510</v>
      </c>
      <c r="H94" s="15" t="s">
        <v>511</v>
      </c>
      <c r="I94" s="15">
        <v>1029</v>
      </c>
      <c r="J94" s="15">
        <v>0</v>
      </c>
      <c r="K94" s="15"/>
      <c r="L94" s="15" t="s">
        <v>512</v>
      </c>
      <c r="M94" s="16" t="s">
        <v>2576</v>
      </c>
      <c r="N94" s="17" t="str">
        <f>IF(NOT("https://truemarkets3d.net/3d-virtual-tour/housingbank-realestate/phase3/aq-re-100393/index.html" = ""), HYPERLINK("https://truemarkets3d.net/3d-virtual-tour/housingbank-realestate/phase3/aq-re-100393/index.html", "جولة"), "")</f>
        <v>جولة</v>
      </c>
      <c r="O94" s="17" t="str">
        <f>IF(NOT("https://maps.app.goo.gl/PtGf9AVBkxouppTQ6" = ""), HYPERLINK("https://maps.app.goo.gl/PtGf9AVBkxouppTQ6", "موقع"), "")</f>
        <v>موقع</v>
      </c>
      <c r="P94" s="15">
        <v>20000</v>
      </c>
      <c r="Q94" s="15" t="s">
        <v>515</v>
      </c>
      <c r="R94" s="24" t="s">
        <v>2684</v>
      </c>
    </row>
    <row r="95" spans="1:18" s="18" customFormat="1" ht="100.8" x14ac:dyDescent="0.3">
      <c r="A95" s="15" t="s">
        <v>516</v>
      </c>
      <c r="B95" s="15" t="s">
        <v>390</v>
      </c>
      <c r="C95" s="15" t="s">
        <v>391</v>
      </c>
      <c r="D95" s="15" t="s">
        <v>438</v>
      </c>
      <c r="E95" s="15" t="s">
        <v>469</v>
      </c>
      <c r="F95" s="15" t="s">
        <v>509</v>
      </c>
      <c r="G95" s="15" t="s">
        <v>510</v>
      </c>
      <c r="H95" s="15" t="s">
        <v>511</v>
      </c>
      <c r="I95" s="15">
        <v>1028</v>
      </c>
      <c r="J95" s="15">
        <v>0</v>
      </c>
      <c r="K95" s="15"/>
      <c r="L95" s="15" t="s">
        <v>512</v>
      </c>
      <c r="M95" s="16" t="s">
        <v>2576</v>
      </c>
      <c r="N95" s="17" t="str">
        <f>IF(NOT("https://truemarkets3d.net/3d-virtual-tour/housingbank-realestate/phase3/aq-re-100393/index.html" = ""), HYPERLINK("https://truemarkets3d.net/3d-virtual-tour/housingbank-realestate/phase3/aq-re-100393/index.html", "جولة"), "")</f>
        <v>جولة</v>
      </c>
      <c r="O95" s="17" t="str">
        <f>IF(NOT("https://maps.app.goo.gl/gF16esqLTh2gm6z58" = ""), HYPERLINK("https://maps.app.goo.gl/gF16esqLTh2gm6z58", "موقع"), "")</f>
        <v>موقع</v>
      </c>
      <c r="P95" s="15">
        <v>20000</v>
      </c>
      <c r="Q95" s="15" t="s">
        <v>515</v>
      </c>
      <c r="R95" s="24" t="s">
        <v>2685</v>
      </c>
    </row>
    <row r="96" spans="1:18" s="18" customFormat="1" ht="235.2" x14ac:dyDescent="0.3">
      <c r="A96" s="15" t="s">
        <v>517</v>
      </c>
      <c r="B96" s="15" t="s">
        <v>390</v>
      </c>
      <c r="C96" s="15" t="s">
        <v>391</v>
      </c>
      <c r="D96" s="15" t="s">
        <v>438</v>
      </c>
      <c r="E96" s="15" t="s">
        <v>439</v>
      </c>
      <c r="F96" s="15" t="s">
        <v>518</v>
      </c>
      <c r="G96" s="15" t="s">
        <v>519</v>
      </c>
      <c r="H96" s="15" t="s">
        <v>520</v>
      </c>
      <c r="I96" s="15">
        <v>151</v>
      </c>
      <c r="J96" s="15">
        <v>0</v>
      </c>
      <c r="K96" s="15"/>
      <c r="L96" s="15" t="s">
        <v>521</v>
      </c>
      <c r="M96" s="16" t="s">
        <v>2576</v>
      </c>
      <c r="N96" s="16" t="s">
        <v>2576</v>
      </c>
      <c r="O96" s="17" t="str">
        <f>IF(NOT("https://maps.app.goo.gl/kZpH61LGfRkMrLKi6" = ""), HYPERLINK("https://maps.app.goo.gl/kZpH61LGfRkMrLKi6", "موقع"), "")</f>
        <v>موقع</v>
      </c>
      <c r="P96" s="15">
        <v>22000</v>
      </c>
      <c r="Q96" s="15" t="s">
        <v>522</v>
      </c>
      <c r="R96" s="24" t="s">
        <v>2686</v>
      </c>
    </row>
    <row r="97" spans="1:18" s="18" customFormat="1" ht="117.6" x14ac:dyDescent="0.3">
      <c r="A97" s="15" t="s">
        <v>523</v>
      </c>
      <c r="B97" s="15" t="s">
        <v>390</v>
      </c>
      <c r="C97" s="15" t="s">
        <v>391</v>
      </c>
      <c r="D97" s="15" t="s">
        <v>438</v>
      </c>
      <c r="E97" s="15" t="s">
        <v>439</v>
      </c>
      <c r="F97" s="15" t="s">
        <v>524</v>
      </c>
      <c r="G97" s="15" t="s">
        <v>525</v>
      </c>
      <c r="H97" s="15" t="s">
        <v>447</v>
      </c>
      <c r="I97" s="15">
        <v>123</v>
      </c>
      <c r="J97" s="15">
        <v>0</v>
      </c>
      <c r="K97" s="15"/>
      <c r="L97" s="15" t="s">
        <v>526</v>
      </c>
      <c r="M97" s="16" t="s">
        <v>2576</v>
      </c>
      <c r="N97" s="16" t="s">
        <v>2576</v>
      </c>
      <c r="O97" s="17" t="str">
        <f>IF(NOT("https://maps.app.goo.gl/PKzqrQdSNAr7rMaD6" = ""), HYPERLINK("https://maps.app.goo.gl/PKzqrQdSNAr7rMaD6", "موقع"), "")</f>
        <v>موقع</v>
      </c>
      <c r="P97" s="15">
        <v>29000</v>
      </c>
      <c r="Q97" s="15" t="s">
        <v>527</v>
      </c>
      <c r="R97" s="24" t="s">
        <v>2687</v>
      </c>
    </row>
    <row r="98" spans="1:18" s="18" customFormat="1" ht="50.4" x14ac:dyDescent="0.3">
      <c r="A98" s="15" t="s">
        <v>528</v>
      </c>
      <c r="B98" s="15" t="s">
        <v>390</v>
      </c>
      <c r="C98" s="15" t="s">
        <v>391</v>
      </c>
      <c r="D98" s="15" t="s">
        <v>438</v>
      </c>
      <c r="E98" s="15" t="s">
        <v>469</v>
      </c>
      <c r="F98" s="15" t="s">
        <v>509</v>
      </c>
      <c r="G98" s="15" t="s">
        <v>510</v>
      </c>
      <c r="H98" s="15" t="s">
        <v>511</v>
      </c>
      <c r="I98" s="15">
        <v>998</v>
      </c>
      <c r="J98" s="15">
        <v>0</v>
      </c>
      <c r="K98" s="15"/>
      <c r="L98" s="15" t="s">
        <v>529</v>
      </c>
      <c r="M98" s="16" t="s">
        <v>2576</v>
      </c>
      <c r="N98" s="17" t="str">
        <f>IF(NOT("https://truemarkets3d.net/3d-virtual-tour/housingbank-realestate/phase3/aq-re-100393/index.html" = ""), HYPERLINK("https://truemarkets3d.net/3d-virtual-tour/housingbank-realestate/phase3/aq-re-100393/index.html", "جولة"), "")</f>
        <v>جولة</v>
      </c>
      <c r="O98" s="17" t="str">
        <f>IF(NOT("https://maps.app.goo.gl/ELEPRu9hwMySenZL7" = ""), HYPERLINK("https://maps.app.goo.gl/ELEPRu9hwMySenZL7", "موقع"), "")</f>
        <v>موقع</v>
      </c>
      <c r="P98" s="15">
        <v>34000</v>
      </c>
      <c r="Q98" s="15" t="s">
        <v>530</v>
      </c>
      <c r="R98" s="24" t="s">
        <v>2688</v>
      </c>
    </row>
    <row r="99" spans="1:18" s="18" customFormat="1" ht="117.6" x14ac:dyDescent="0.3">
      <c r="A99" s="15" t="s">
        <v>531</v>
      </c>
      <c r="B99" s="15" t="s">
        <v>390</v>
      </c>
      <c r="C99" s="15" t="s">
        <v>391</v>
      </c>
      <c r="D99" s="15" t="s">
        <v>438</v>
      </c>
      <c r="E99" s="15" t="s">
        <v>469</v>
      </c>
      <c r="F99" s="15" t="s">
        <v>481</v>
      </c>
      <c r="G99" s="15" t="s">
        <v>532</v>
      </c>
      <c r="H99" s="15" t="s">
        <v>472</v>
      </c>
      <c r="I99" s="15">
        <v>362</v>
      </c>
      <c r="J99" s="15">
        <v>0</v>
      </c>
      <c r="K99" s="15"/>
      <c r="L99" s="15" t="s">
        <v>533</v>
      </c>
      <c r="M99" s="16" t="s">
        <v>2576</v>
      </c>
      <c r="N99" s="16" t="s">
        <v>2576</v>
      </c>
      <c r="O99" s="17" t="str">
        <f>IF(NOT("https://maps.app.goo.gl/RndMpfcw8dcJCyQn6" = ""), HYPERLINK("https://maps.app.goo.gl/RndMpfcw8dcJCyQn6", "موقع"), "")</f>
        <v>موقع</v>
      </c>
      <c r="P99" s="15">
        <v>89000</v>
      </c>
      <c r="Q99" s="15" t="s">
        <v>534</v>
      </c>
      <c r="R99" s="24" t="s">
        <v>2689</v>
      </c>
    </row>
    <row r="100" spans="1:18" s="18" customFormat="1" ht="117.6" x14ac:dyDescent="0.3">
      <c r="A100" s="15" t="s">
        <v>464</v>
      </c>
      <c r="B100" s="15" t="s">
        <v>262</v>
      </c>
      <c r="C100" s="15" t="s">
        <v>281</v>
      </c>
      <c r="D100" s="15" t="s">
        <v>438</v>
      </c>
      <c r="E100" s="15" t="s">
        <v>439</v>
      </c>
      <c r="F100" s="15" t="s">
        <v>440</v>
      </c>
      <c r="G100" s="15" t="s">
        <v>465</v>
      </c>
      <c r="H100" s="15" t="s">
        <v>447</v>
      </c>
      <c r="I100" s="15">
        <v>33</v>
      </c>
      <c r="J100" s="15">
        <v>0</v>
      </c>
      <c r="K100" s="15"/>
      <c r="L100" s="15" t="s">
        <v>466</v>
      </c>
      <c r="M100" s="16" t="s">
        <v>2576</v>
      </c>
      <c r="N100" s="16" t="s">
        <v>2576</v>
      </c>
      <c r="O100" s="17" t="str">
        <f>IF(NOT("https://maps.app.goo.gl/21hMGwEtcZe6gXuB7" = ""), HYPERLINK("https://maps.app.goo.gl/21hMGwEtcZe6gXuB7", "موقع"), "")</f>
        <v>موقع</v>
      </c>
      <c r="P100" s="15">
        <v>1000</v>
      </c>
      <c r="Q100" s="15" t="s">
        <v>467</v>
      </c>
      <c r="R100" s="24" t="s">
        <v>2674</v>
      </c>
    </row>
    <row r="101" spans="1:18" s="18" customFormat="1" ht="151.19999999999999" x14ac:dyDescent="0.3">
      <c r="A101" s="15" t="s">
        <v>468</v>
      </c>
      <c r="B101" s="15" t="s">
        <v>262</v>
      </c>
      <c r="C101" s="15" t="s">
        <v>281</v>
      </c>
      <c r="D101" s="15" t="s">
        <v>438</v>
      </c>
      <c r="E101" s="15" t="s">
        <v>469</v>
      </c>
      <c r="F101" s="15" t="s">
        <v>470</v>
      </c>
      <c r="G101" s="15" t="s">
        <v>471</v>
      </c>
      <c r="H101" s="15" t="s">
        <v>472</v>
      </c>
      <c r="I101" s="15">
        <v>522</v>
      </c>
      <c r="J101" s="15">
        <v>0</v>
      </c>
      <c r="K101" s="15"/>
      <c r="L101" s="15" t="s">
        <v>473</v>
      </c>
      <c r="M101" s="16" t="s">
        <v>2576</v>
      </c>
      <c r="N101" s="16" t="s">
        <v>2576</v>
      </c>
      <c r="O101" s="17" t="str">
        <f>IF(NOT("https://maps.app.goo.gl/ywwSPGuWCw49182z5" = ""), HYPERLINK("https://maps.app.goo.gl/ywwSPGuWCw49182z5", "موقع"), "")</f>
        <v>موقع</v>
      </c>
      <c r="P101" s="15">
        <v>23000</v>
      </c>
      <c r="Q101" s="15" t="s">
        <v>474</v>
      </c>
      <c r="R101" s="24" t="s">
        <v>2675</v>
      </c>
    </row>
    <row r="102" spans="1:18" s="18" customFormat="1" ht="168" x14ac:dyDescent="0.3">
      <c r="A102" s="15" t="s">
        <v>475</v>
      </c>
      <c r="B102" s="15" t="s">
        <v>262</v>
      </c>
      <c r="C102" s="15" t="s">
        <v>281</v>
      </c>
      <c r="D102" s="15" t="s">
        <v>438</v>
      </c>
      <c r="E102" s="15" t="s">
        <v>469</v>
      </c>
      <c r="F102" s="15" t="s">
        <v>476</v>
      </c>
      <c r="G102" s="15" t="s">
        <v>477</v>
      </c>
      <c r="H102" s="15" t="s">
        <v>472</v>
      </c>
      <c r="I102" s="15">
        <v>199</v>
      </c>
      <c r="J102" s="15">
        <v>0</v>
      </c>
      <c r="K102" s="15"/>
      <c r="L102" s="15" t="s">
        <v>478</v>
      </c>
      <c r="M102" s="16" t="s">
        <v>2576</v>
      </c>
      <c r="N102" s="16" t="s">
        <v>2576</v>
      </c>
      <c r="O102" s="17" t="str">
        <f>IF(NOT("https://maps.app.goo.gl/knbKAjXgj6dbL4LRA" = ""), HYPERLINK("https://maps.app.goo.gl/knbKAjXgj6dbL4LRA", "موقع"), "")</f>
        <v>موقع</v>
      </c>
      <c r="P102" s="15">
        <v>31000</v>
      </c>
      <c r="Q102" s="15" t="s">
        <v>479</v>
      </c>
      <c r="R102" s="24" t="s">
        <v>2676</v>
      </c>
    </row>
    <row r="103" spans="1:18" s="18" customFormat="1" ht="117.6" x14ac:dyDescent="0.3">
      <c r="A103" s="15" t="s">
        <v>480</v>
      </c>
      <c r="B103" s="15" t="s">
        <v>262</v>
      </c>
      <c r="C103" s="15" t="s">
        <v>281</v>
      </c>
      <c r="D103" s="15" t="s">
        <v>438</v>
      </c>
      <c r="E103" s="15" t="s">
        <v>469</v>
      </c>
      <c r="F103" s="15" t="s">
        <v>481</v>
      </c>
      <c r="G103" s="15" t="s">
        <v>482</v>
      </c>
      <c r="H103" s="15" t="s">
        <v>447</v>
      </c>
      <c r="I103" s="15">
        <v>625</v>
      </c>
      <c r="J103" s="15">
        <v>0</v>
      </c>
      <c r="K103" s="15"/>
      <c r="L103" s="15" t="s">
        <v>483</v>
      </c>
      <c r="M103" s="16" t="s">
        <v>2576</v>
      </c>
      <c r="N103" s="16" t="s">
        <v>2576</v>
      </c>
      <c r="O103" s="16" t="s">
        <v>2576</v>
      </c>
      <c r="P103" s="15">
        <v>37000</v>
      </c>
      <c r="Q103" s="15" t="s">
        <v>484</v>
      </c>
      <c r="R103" s="24" t="s">
        <v>2677</v>
      </c>
    </row>
    <row r="104" spans="1:18" s="18" customFormat="1" ht="151.19999999999999" x14ac:dyDescent="0.3">
      <c r="A104" s="15" t="s">
        <v>485</v>
      </c>
      <c r="B104" s="15" t="s">
        <v>262</v>
      </c>
      <c r="C104" s="15" t="s">
        <v>281</v>
      </c>
      <c r="D104" s="15" t="s">
        <v>438</v>
      </c>
      <c r="E104" s="15" t="s">
        <v>469</v>
      </c>
      <c r="F104" s="15" t="s">
        <v>481</v>
      </c>
      <c r="G104" s="15" t="s">
        <v>486</v>
      </c>
      <c r="H104" s="15" t="s">
        <v>472</v>
      </c>
      <c r="I104" s="15">
        <v>2696</v>
      </c>
      <c r="J104" s="15">
        <v>0</v>
      </c>
      <c r="K104" s="15"/>
      <c r="L104" s="15" t="s">
        <v>487</v>
      </c>
      <c r="M104" s="16" t="s">
        <v>2576</v>
      </c>
      <c r="N104" s="16" t="s">
        <v>2576</v>
      </c>
      <c r="O104" s="16" t="s">
        <v>2576</v>
      </c>
      <c r="P104" s="15">
        <v>41000</v>
      </c>
      <c r="Q104" s="15" t="s">
        <v>488</v>
      </c>
      <c r="R104" s="24" t="s">
        <v>2678</v>
      </c>
    </row>
    <row r="105" spans="1:18" s="18" customFormat="1" ht="67.2" x14ac:dyDescent="0.3">
      <c r="A105" s="15" t="s">
        <v>489</v>
      </c>
      <c r="B105" s="15" t="s">
        <v>262</v>
      </c>
      <c r="C105" s="15" t="s">
        <v>281</v>
      </c>
      <c r="D105" s="15" t="s">
        <v>438</v>
      </c>
      <c r="E105" s="15" t="s">
        <v>439</v>
      </c>
      <c r="F105" s="15" t="s">
        <v>440</v>
      </c>
      <c r="G105" s="15" t="s">
        <v>490</v>
      </c>
      <c r="H105" s="15" t="s">
        <v>491</v>
      </c>
      <c r="I105" s="15">
        <v>85</v>
      </c>
      <c r="J105" s="15">
        <v>0</v>
      </c>
      <c r="K105" s="15"/>
      <c r="L105" s="15" t="s">
        <v>492</v>
      </c>
      <c r="M105" s="16" t="s">
        <v>2576</v>
      </c>
      <c r="N105" s="16" t="s">
        <v>2576</v>
      </c>
      <c r="O105" s="17" t="str">
        <f>IF(NOT("https://maps.app.goo.gl/a2JyeiPQoTnDutsu5" = ""), HYPERLINK("https://maps.app.goo.gl/a2JyeiPQoTnDutsu5", "موقع"), "")</f>
        <v>موقع</v>
      </c>
      <c r="P105" s="15">
        <v>53000</v>
      </c>
      <c r="Q105" s="15" t="s">
        <v>493</v>
      </c>
      <c r="R105" s="24" t="s">
        <v>2679</v>
      </c>
    </row>
    <row r="106" spans="1:18" s="18" customFormat="1" ht="134.4" x14ac:dyDescent="0.3">
      <c r="A106" s="15" t="s">
        <v>494</v>
      </c>
      <c r="B106" s="15" t="s">
        <v>262</v>
      </c>
      <c r="C106" s="15" t="s">
        <v>281</v>
      </c>
      <c r="D106" s="15" t="s">
        <v>438</v>
      </c>
      <c r="E106" s="15" t="s">
        <v>439</v>
      </c>
      <c r="F106" s="15" t="s">
        <v>495</v>
      </c>
      <c r="G106" s="15" t="s">
        <v>496</v>
      </c>
      <c r="H106" s="15" t="s">
        <v>447</v>
      </c>
      <c r="I106" s="15">
        <v>121</v>
      </c>
      <c r="J106" s="15">
        <v>0</v>
      </c>
      <c r="K106" s="15"/>
      <c r="L106" s="15" t="s">
        <v>497</v>
      </c>
      <c r="M106" s="16" t="s">
        <v>2576</v>
      </c>
      <c r="N106" s="16" t="s">
        <v>2576</v>
      </c>
      <c r="O106" s="16" t="s">
        <v>2576</v>
      </c>
      <c r="P106" s="15">
        <v>78000</v>
      </c>
      <c r="Q106" s="15" t="s">
        <v>498</v>
      </c>
      <c r="R106" s="24" t="s">
        <v>2680</v>
      </c>
    </row>
    <row r="107" spans="1:18" s="18" customFormat="1" ht="151.19999999999999" x14ac:dyDescent="0.3">
      <c r="A107" s="15" t="s">
        <v>499</v>
      </c>
      <c r="B107" s="15" t="s">
        <v>262</v>
      </c>
      <c r="C107" s="15" t="s">
        <v>281</v>
      </c>
      <c r="D107" s="15" t="s">
        <v>438</v>
      </c>
      <c r="E107" s="15" t="s">
        <v>439</v>
      </c>
      <c r="F107" s="15" t="s">
        <v>440</v>
      </c>
      <c r="G107" s="15" t="s">
        <v>500</v>
      </c>
      <c r="H107" s="15" t="s">
        <v>447</v>
      </c>
      <c r="I107" s="15">
        <v>187</v>
      </c>
      <c r="J107" s="15">
        <v>0</v>
      </c>
      <c r="K107" s="15"/>
      <c r="L107" s="15" t="s">
        <v>501</v>
      </c>
      <c r="M107" s="16" t="s">
        <v>2576</v>
      </c>
      <c r="N107" s="16" t="s">
        <v>2576</v>
      </c>
      <c r="O107" s="17" t="str">
        <f>IF(NOT("https://maps.app.goo.gl/Ya9YEaFjkS2haHkf9" = ""), HYPERLINK("https://maps.app.goo.gl/Ya9YEaFjkS2haHkf9", "موقع"), "")</f>
        <v>موقع</v>
      </c>
      <c r="P107" s="15">
        <v>415000</v>
      </c>
      <c r="Q107" s="15" t="s">
        <v>502</v>
      </c>
      <c r="R107" s="24" t="s">
        <v>2681</v>
      </c>
    </row>
    <row r="108" spans="1:18" s="18" customFormat="1" ht="117.6" x14ac:dyDescent="0.3">
      <c r="A108" s="15" t="s">
        <v>503</v>
      </c>
      <c r="B108" s="15" t="s">
        <v>262</v>
      </c>
      <c r="C108" s="15" t="s">
        <v>380</v>
      </c>
      <c r="D108" s="15" t="s">
        <v>438</v>
      </c>
      <c r="E108" s="15" t="s">
        <v>439</v>
      </c>
      <c r="F108" s="15" t="s">
        <v>440</v>
      </c>
      <c r="G108" s="15" t="s">
        <v>504</v>
      </c>
      <c r="H108" s="15" t="s">
        <v>505</v>
      </c>
      <c r="I108" s="15">
        <v>413</v>
      </c>
      <c r="J108" s="15">
        <v>0</v>
      </c>
      <c r="K108" s="15"/>
      <c r="L108" s="15" t="s">
        <v>506</v>
      </c>
      <c r="M108" s="16" t="s">
        <v>2576</v>
      </c>
      <c r="N108" s="17" t="str">
        <f>IF(NOT("https://www.true-markets.net/media/360tour/housing-bank/413/index.html" = ""), HYPERLINK("https://www.true-markets.net/media/360tour/housing-bank/413/index.html", "جولة"), "")</f>
        <v>جولة</v>
      </c>
      <c r="O108" s="17" t="str">
        <f>IF(NOT("https://maps.app.goo.gl/TP9Z9iRqcqTAfn4d6" = ""), HYPERLINK("https://maps.app.goo.gl/TP9Z9iRqcqTAfn4d6", "موقع"), "")</f>
        <v>موقع</v>
      </c>
      <c r="P108" s="15">
        <v>547000</v>
      </c>
      <c r="Q108" s="15" t="s">
        <v>507</v>
      </c>
      <c r="R108" s="24" t="s">
        <v>2682</v>
      </c>
    </row>
    <row r="109" spans="1:18" s="18" customFormat="1" ht="84" x14ac:dyDescent="0.3">
      <c r="A109" s="15" t="s">
        <v>437</v>
      </c>
      <c r="B109" s="15" t="s">
        <v>20</v>
      </c>
      <c r="C109" s="15" t="s">
        <v>54</v>
      </c>
      <c r="D109" s="15" t="s">
        <v>438</v>
      </c>
      <c r="E109" s="15" t="s">
        <v>439</v>
      </c>
      <c r="F109" s="15" t="s">
        <v>440</v>
      </c>
      <c r="G109" s="15" t="s">
        <v>441</v>
      </c>
      <c r="H109" s="15" t="s">
        <v>442</v>
      </c>
      <c r="I109" s="15">
        <v>300</v>
      </c>
      <c r="J109" s="15">
        <v>132</v>
      </c>
      <c r="K109" s="15" t="s">
        <v>50</v>
      </c>
      <c r="L109" s="15" t="s">
        <v>443</v>
      </c>
      <c r="M109" s="17" t="str">
        <f>IF(NOT("https://youtu.be/PfMN3FxLFHg" = ""), HYPERLINK("https://youtu.be/PfMN3FxLFHg", "فيديو"), "")</f>
        <v>فيديو</v>
      </c>
      <c r="N109" s="17" t="str">
        <f>IF(NOT("https://truemarkets3d.net/3d-virtual-tour/housingbank-realestate/phase3/aq-re-100656/index.html" = ""), HYPERLINK("https://truemarkets3d.net/3d-virtual-tour/housingbank-realestate/phase3/aq-re-100656/index.html", "جولة"), "")</f>
        <v>جولة</v>
      </c>
      <c r="O109" s="17" t="str">
        <f>IF(NOT("https://maps.app.goo.gl/6RndwJPwZpYGEEyaA" = ""), HYPERLINK("https://maps.app.goo.gl/6RndwJPwZpYGEEyaA", "موقع"), "")</f>
        <v>موقع</v>
      </c>
      <c r="P109" s="15">
        <v>25000</v>
      </c>
      <c r="Q109" s="15" t="s">
        <v>444</v>
      </c>
      <c r="R109" s="24" t="s">
        <v>2667</v>
      </c>
    </row>
    <row r="110" spans="1:18" s="18" customFormat="1" ht="100.8" x14ac:dyDescent="0.3">
      <c r="A110" s="15" t="s">
        <v>445</v>
      </c>
      <c r="B110" s="15" t="s">
        <v>20</v>
      </c>
      <c r="C110" s="15" t="s">
        <v>54</v>
      </c>
      <c r="D110" s="15" t="s">
        <v>438</v>
      </c>
      <c r="E110" s="15" t="s">
        <v>439</v>
      </c>
      <c r="F110" s="15" t="s">
        <v>440</v>
      </c>
      <c r="G110" s="15" t="s">
        <v>446</v>
      </c>
      <c r="H110" s="15" t="s">
        <v>447</v>
      </c>
      <c r="I110" s="15">
        <v>1376</v>
      </c>
      <c r="J110" s="15">
        <v>-112</v>
      </c>
      <c r="K110" s="15" t="s">
        <v>27</v>
      </c>
      <c r="L110" s="15" t="s">
        <v>448</v>
      </c>
      <c r="M110" s="17" t="str">
        <f>IF(NOT("https://youtu.be/xZ0pn7-7ITk" = ""), HYPERLINK("https://youtu.be/xZ0pn7-7ITk", "فيديو"), "")</f>
        <v>فيديو</v>
      </c>
      <c r="N110" s="17" t="str">
        <f>IF(NOT("https://truemarkets3d.net/3d-virtual-tour/housingbank-realestate/phase3/aq-re-100660/index.html" = ""), HYPERLINK("https://truemarkets3d.net/3d-virtual-tour/housingbank-realestate/phase3/aq-re-100660/index.html", "جولة"), "")</f>
        <v>جولة</v>
      </c>
      <c r="O110" s="17" t="str">
        <f>IF(NOT("https://maps.app.goo.gl/7L2MvjC9BBSDj8EC7" = ""), HYPERLINK("https://maps.app.goo.gl/7L2MvjC9BBSDj8EC7", "موقع"), "")</f>
        <v>موقع</v>
      </c>
      <c r="P110" s="15">
        <v>50000</v>
      </c>
      <c r="Q110" s="15" t="s">
        <v>449</v>
      </c>
      <c r="R110" s="24" t="s">
        <v>2668</v>
      </c>
    </row>
    <row r="111" spans="1:18" s="18" customFormat="1" ht="100.8" x14ac:dyDescent="0.3">
      <c r="A111" s="15" t="s">
        <v>450</v>
      </c>
      <c r="B111" s="15" t="s">
        <v>20</v>
      </c>
      <c r="C111" s="15" t="s">
        <v>54</v>
      </c>
      <c r="D111" s="15" t="s">
        <v>438</v>
      </c>
      <c r="E111" s="15" t="s">
        <v>439</v>
      </c>
      <c r="F111" s="15" t="s">
        <v>440</v>
      </c>
      <c r="G111" s="15" t="s">
        <v>441</v>
      </c>
      <c r="H111" s="15" t="s">
        <v>442</v>
      </c>
      <c r="I111" s="15">
        <v>282</v>
      </c>
      <c r="J111" s="15">
        <v>-123</v>
      </c>
      <c r="K111" s="15" t="s">
        <v>451</v>
      </c>
      <c r="L111" s="15" t="s">
        <v>206</v>
      </c>
      <c r="M111" s="17" t="str">
        <f>IF(NOT("https://youtu.be/yv2fVCxQgQk" = ""), HYPERLINK("https://youtu.be/yv2fVCxQgQk", "فيديو"), "")</f>
        <v>فيديو</v>
      </c>
      <c r="N111" s="17" t="str">
        <f>IF(NOT("https://truemarkets3d.net/3d-virtual-tour/housingbank-realestate/phase3/aq-re-100572/index.html" = ""), HYPERLINK("https://truemarkets3d.net/3d-virtual-tour/housingbank-realestate/phase3/aq-re-100572/index.html", "جولة"), "")</f>
        <v>جولة</v>
      </c>
      <c r="O111" s="17" t="str">
        <f>IF(NOT("https://maps.app.goo.gl/8T2GeRGwHai9fGQ79" = ""), HYPERLINK("https://maps.app.goo.gl/8T2GeRGwHai9fGQ79", "موقع"), "")</f>
        <v>موقع</v>
      </c>
      <c r="P111" s="15">
        <v>59000</v>
      </c>
      <c r="Q111" s="15" t="s">
        <v>452</v>
      </c>
      <c r="R111" s="24" t="s">
        <v>2669</v>
      </c>
    </row>
    <row r="112" spans="1:18" s="18" customFormat="1" ht="100.8" x14ac:dyDescent="0.3">
      <c r="A112" s="15" t="s">
        <v>453</v>
      </c>
      <c r="B112" s="15" t="s">
        <v>20</v>
      </c>
      <c r="C112" s="15" t="s">
        <v>54</v>
      </c>
      <c r="D112" s="15" t="s">
        <v>438</v>
      </c>
      <c r="E112" s="15" t="s">
        <v>439</v>
      </c>
      <c r="F112" s="15" t="s">
        <v>440</v>
      </c>
      <c r="G112" s="15" t="s">
        <v>446</v>
      </c>
      <c r="H112" s="15" t="s">
        <v>447</v>
      </c>
      <c r="I112" s="15">
        <v>2384</v>
      </c>
      <c r="J112" s="15">
        <v>-101</v>
      </c>
      <c r="K112" s="15" t="s">
        <v>27</v>
      </c>
      <c r="L112" s="15" t="s">
        <v>454</v>
      </c>
      <c r="M112" s="16" t="s">
        <v>2576</v>
      </c>
      <c r="N112" s="17" t="str">
        <f>IF(NOT("https://truemarkets3d.net/3d-virtual-tour/housingbank-realestate/phase3/aq-re-100698/index.html" = ""), HYPERLINK("https://truemarkets3d.net/3d-virtual-tour/housingbank-realestate/phase3/aq-re-100698/index.html", "جولة"), "")</f>
        <v>جولة</v>
      </c>
      <c r="O112" s="17" t="str">
        <f>IF(NOT("https://maps.app.goo.gl/yvsNowNAet4CtjyT8" = ""), HYPERLINK("https://maps.app.goo.gl/yvsNowNAet4CtjyT8", "موقع"), "")</f>
        <v>موقع</v>
      </c>
      <c r="P112" s="15">
        <v>59000</v>
      </c>
      <c r="Q112" s="15" t="s">
        <v>455</v>
      </c>
      <c r="R112" s="24" t="s">
        <v>2670</v>
      </c>
    </row>
    <row r="113" spans="1:18" s="18" customFormat="1" ht="100.8" x14ac:dyDescent="0.3">
      <c r="A113" s="15" t="s">
        <v>456</v>
      </c>
      <c r="B113" s="15" t="s">
        <v>20</v>
      </c>
      <c r="C113" s="15" t="s">
        <v>54</v>
      </c>
      <c r="D113" s="15" t="s">
        <v>438</v>
      </c>
      <c r="E113" s="15" t="s">
        <v>439</v>
      </c>
      <c r="F113" s="15" t="s">
        <v>440</v>
      </c>
      <c r="G113" s="15" t="s">
        <v>441</v>
      </c>
      <c r="H113" s="15" t="s">
        <v>447</v>
      </c>
      <c r="I113" s="15">
        <v>282</v>
      </c>
      <c r="J113" s="15">
        <v>-122</v>
      </c>
      <c r="K113" s="15" t="s">
        <v>451</v>
      </c>
      <c r="L113" s="15" t="s">
        <v>457</v>
      </c>
      <c r="M113" s="16" t="s">
        <v>2576</v>
      </c>
      <c r="N113" s="17" t="str">
        <f>IF(NOT("https://truemarkets3d.net/3d-virtual-tour/housingbank-realestate/phase3/aq-re-100105/index.html" = ""), HYPERLINK("https://truemarkets3d.net/3d-virtual-tour/housingbank-realestate/phase3/aq-re-100105/index.html", "جولة"), "")</f>
        <v>جولة</v>
      </c>
      <c r="O113" s="17" t="str">
        <f>IF(NOT("https://maps.app.goo.gl/8T2GeRGwHai9fGQ79" = ""), HYPERLINK("https://maps.app.goo.gl/8T2GeRGwHai9fGQ79", "موقع"), "")</f>
        <v>موقع</v>
      </c>
      <c r="P113" s="15">
        <v>61000</v>
      </c>
      <c r="Q113" s="15" t="s">
        <v>452</v>
      </c>
      <c r="R113" s="24" t="s">
        <v>2671</v>
      </c>
    </row>
    <row r="114" spans="1:18" s="18" customFormat="1" ht="100.8" x14ac:dyDescent="0.3">
      <c r="A114" s="15" t="s">
        <v>458</v>
      </c>
      <c r="B114" s="15" t="s">
        <v>20</v>
      </c>
      <c r="C114" s="15" t="s">
        <v>54</v>
      </c>
      <c r="D114" s="15" t="s">
        <v>438</v>
      </c>
      <c r="E114" s="15" t="s">
        <v>439</v>
      </c>
      <c r="F114" s="15" t="s">
        <v>440</v>
      </c>
      <c r="G114" s="15" t="s">
        <v>441</v>
      </c>
      <c r="H114" s="15" t="s">
        <v>447</v>
      </c>
      <c r="I114" s="15">
        <v>282</v>
      </c>
      <c r="J114" s="15">
        <v>-112</v>
      </c>
      <c r="K114" s="15" t="s">
        <v>27</v>
      </c>
      <c r="L114" s="15" t="s">
        <v>459</v>
      </c>
      <c r="M114" s="16" t="s">
        <v>2576</v>
      </c>
      <c r="N114" s="16" t="s">
        <v>2576</v>
      </c>
      <c r="O114" s="16" t="s">
        <v>2576</v>
      </c>
      <c r="P114" s="15">
        <v>62000</v>
      </c>
      <c r="Q114" s="15" t="s">
        <v>460</v>
      </c>
      <c r="R114" s="24" t="s">
        <v>2672</v>
      </c>
    </row>
    <row r="115" spans="1:18" s="18" customFormat="1" ht="67.2" x14ac:dyDescent="0.3">
      <c r="A115" s="15" t="s">
        <v>461</v>
      </c>
      <c r="B115" s="15" t="s">
        <v>20</v>
      </c>
      <c r="C115" s="15" t="s">
        <v>54</v>
      </c>
      <c r="D115" s="15" t="s">
        <v>438</v>
      </c>
      <c r="E115" s="15" t="s">
        <v>439</v>
      </c>
      <c r="F115" s="15" t="s">
        <v>440</v>
      </c>
      <c r="G115" s="15" t="s">
        <v>441</v>
      </c>
      <c r="H115" s="15" t="s">
        <v>442</v>
      </c>
      <c r="I115" s="15">
        <v>300</v>
      </c>
      <c r="J115" s="15">
        <v>101</v>
      </c>
      <c r="K115" s="15" t="s">
        <v>41</v>
      </c>
      <c r="L115" s="15" t="s">
        <v>462</v>
      </c>
      <c r="M115" s="16" t="s">
        <v>2576</v>
      </c>
      <c r="N115" s="17" t="str">
        <f>IF(NOT("https://truemarkets3d.net/3d-virtual-tour/housingbank-realestate/phase3/aq-re-100012/index.html" = ""), HYPERLINK("https://truemarkets3d.net/3d-virtual-tour/housingbank-realestate/phase3/aq-re-100012/index.html", "جولة"), "")</f>
        <v>جولة</v>
      </c>
      <c r="O115" s="17" t="str">
        <f>IF(NOT("https://maps.app.goo.gl/Jx9oW4LuchHHL7Gw7" = ""), HYPERLINK("https://maps.app.goo.gl/Jx9oW4LuchHHL7Gw7", "موقع"), "")</f>
        <v>موقع</v>
      </c>
      <c r="P115" s="15">
        <v>62000</v>
      </c>
      <c r="Q115" s="15" t="s">
        <v>463</v>
      </c>
      <c r="R115" s="24" t="s">
        <v>2673</v>
      </c>
    </row>
    <row r="116" spans="1:18" s="18" customFormat="1" ht="117.6" x14ac:dyDescent="0.3">
      <c r="A116" s="15" t="s">
        <v>718</v>
      </c>
      <c r="B116" s="15" t="s">
        <v>390</v>
      </c>
      <c r="C116" s="15" t="s">
        <v>391</v>
      </c>
      <c r="D116" s="15" t="s">
        <v>536</v>
      </c>
      <c r="E116" s="15" t="s">
        <v>537</v>
      </c>
      <c r="F116" s="15" t="s">
        <v>647</v>
      </c>
      <c r="G116" s="15" t="s">
        <v>719</v>
      </c>
      <c r="H116" s="15" t="s">
        <v>540</v>
      </c>
      <c r="I116" s="15">
        <v>403</v>
      </c>
      <c r="J116" s="15">
        <v>0</v>
      </c>
      <c r="K116" s="15"/>
      <c r="L116" s="15" t="s">
        <v>720</v>
      </c>
      <c r="M116" s="16" t="s">
        <v>2576</v>
      </c>
      <c r="N116" s="16" t="s">
        <v>2576</v>
      </c>
      <c r="O116" s="17" t="str">
        <f>IF(NOT("https://maps.app.goo.gl/jidFef5beuMf9sheA" = ""), HYPERLINK("https://maps.app.goo.gl/jidFef5beuMf9sheA", "موقع"), "")</f>
        <v>موقع</v>
      </c>
      <c r="P116" s="15">
        <v>6000</v>
      </c>
      <c r="Q116" s="15" t="s">
        <v>721</v>
      </c>
      <c r="R116" s="24" t="s">
        <v>2741</v>
      </c>
    </row>
    <row r="117" spans="1:18" s="18" customFormat="1" ht="117.6" x14ac:dyDescent="0.3">
      <c r="A117" s="15" t="s">
        <v>722</v>
      </c>
      <c r="B117" s="15" t="s">
        <v>390</v>
      </c>
      <c r="C117" s="15" t="s">
        <v>391</v>
      </c>
      <c r="D117" s="15" t="s">
        <v>536</v>
      </c>
      <c r="E117" s="15" t="s">
        <v>537</v>
      </c>
      <c r="F117" s="15" t="s">
        <v>647</v>
      </c>
      <c r="G117" s="15" t="s">
        <v>719</v>
      </c>
      <c r="H117" s="15" t="s">
        <v>540</v>
      </c>
      <c r="I117" s="15">
        <v>407</v>
      </c>
      <c r="J117" s="15">
        <v>0</v>
      </c>
      <c r="K117" s="15"/>
      <c r="L117" s="15" t="s">
        <v>723</v>
      </c>
      <c r="M117" s="16" t="s">
        <v>2576</v>
      </c>
      <c r="N117" s="16" t="s">
        <v>2576</v>
      </c>
      <c r="O117" s="16" t="s">
        <v>2576</v>
      </c>
      <c r="P117" s="15">
        <v>7000</v>
      </c>
      <c r="Q117" s="15" t="s">
        <v>724</v>
      </c>
      <c r="R117" s="24" t="s">
        <v>2742</v>
      </c>
    </row>
    <row r="118" spans="1:18" s="18" customFormat="1" ht="134.4" x14ac:dyDescent="0.3">
      <c r="A118" s="15" t="s">
        <v>725</v>
      </c>
      <c r="B118" s="15" t="s">
        <v>390</v>
      </c>
      <c r="C118" s="15" t="s">
        <v>391</v>
      </c>
      <c r="D118" s="15" t="s">
        <v>536</v>
      </c>
      <c r="E118" s="15" t="s">
        <v>537</v>
      </c>
      <c r="F118" s="15" t="s">
        <v>647</v>
      </c>
      <c r="G118" s="15" t="s">
        <v>719</v>
      </c>
      <c r="H118" s="15" t="s">
        <v>540</v>
      </c>
      <c r="I118" s="15">
        <v>416</v>
      </c>
      <c r="J118" s="15">
        <v>0</v>
      </c>
      <c r="K118" s="15"/>
      <c r="L118" s="15" t="s">
        <v>726</v>
      </c>
      <c r="M118" s="16" t="s">
        <v>2576</v>
      </c>
      <c r="N118" s="16" t="s">
        <v>2576</v>
      </c>
      <c r="O118" s="17" t="str">
        <f>IF(NOT("https://maps.app.goo.gl/VMbSFeAuZNRaJ7TX9" = ""), HYPERLINK("https://maps.app.goo.gl/VMbSFeAuZNRaJ7TX9", "موقع"), "")</f>
        <v>موقع</v>
      </c>
      <c r="P118" s="15">
        <v>9000</v>
      </c>
      <c r="Q118" s="15" t="s">
        <v>727</v>
      </c>
      <c r="R118" s="24" t="s">
        <v>2743</v>
      </c>
    </row>
    <row r="119" spans="1:18" s="18" customFormat="1" ht="117.6" x14ac:dyDescent="0.3">
      <c r="A119" s="15" t="s">
        <v>728</v>
      </c>
      <c r="B119" s="15" t="s">
        <v>390</v>
      </c>
      <c r="C119" s="15" t="s">
        <v>391</v>
      </c>
      <c r="D119" s="15" t="s">
        <v>536</v>
      </c>
      <c r="E119" s="15" t="s">
        <v>537</v>
      </c>
      <c r="F119" s="15" t="s">
        <v>729</v>
      </c>
      <c r="G119" s="15" t="s">
        <v>730</v>
      </c>
      <c r="H119" s="15" t="s">
        <v>731</v>
      </c>
      <c r="I119" s="15">
        <v>1326</v>
      </c>
      <c r="J119" s="15">
        <v>0</v>
      </c>
      <c r="K119" s="15"/>
      <c r="L119" s="15" t="s">
        <v>732</v>
      </c>
      <c r="M119" s="16" t="s">
        <v>2576</v>
      </c>
      <c r="N119" s="16" t="s">
        <v>2576</v>
      </c>
      <c r="O119" s="17" t="str">
        <f>IF(NOT("https://maps.app.goo.gl/p5UeiG7Wqy3ELzHC7" = ""), HYPERLINK("https://maps.app.goo.gl/p5UeiG7Wqy3ELzHC7", "موقع"), "")</f>
        <v>موقع</v>
      </c>
      <c r="P119" s="15">
        <v>14000</v>
      </c>
      <c r="Q119" s="15" t="s">
        <v>733</v>
      </c>
      <c r="R119" s="24" t="s">
        <v>2744</v>
      </c>
    </row>
    <row r="120" spans="1:18" s="18" customFormat="1" ht="235.2" x14ac:dyDescent="0.3">
      <c r="A120" s="15" t="s">
        <v>734</v>
      </c>
      <c r="B120" s="15" t="s">
        <v>390</v>
      </c>
      <c r="C120" s="15" t="s">
        <v>391</v>
      </c>
      <c r="D120" s="15" t="s">
        <v>536</v>
      </c>
      <c r="E120" s="15" t="s">
        <v>537</v>
      </c>
      <c r="F120" s="15" t="s">
        <v>735</v>
      </c>
      <c r="G120" s="15" t="s">
        <v>736</v>
      </c>
      <c r="H120" s="15" t="s">
        <v>737</v>
      </c>
      <c r="I120" s="15">
        <v>1203</v>
      </c>
      <c r="J120" s="15">
        <v>0</v>
      </c>
      <c r="K120" s="15"/>
      <c r="L120" s="15" t="s">
        <v>738</v>
      </c>
      <c r="M120" s="16" t="s">
        <v>2576</v>
      </c>
      <c r="N120" s="16" t="s">
        <v>2576</v>
      </c>
      <c r="O120" s="16" t="s">
        <v>2576</v>
      </c>
      <c r="P120" s="15">
        <v>15000</v>
      </c>
      <c r="Q120" s="15" t="s">
        <v>739</v>
      </c>
      <c r="R120" s="24" t="s">
        <v>2745</v>
      </c>
    </row>
    <row r="121" spans="1:18" s="18" customFormat="1" ht="184.8" x14ac:dyDescent="0.3">
      <c r="A121" s="15" t="s">
        <v>740</v>
      </c>
      <c r="B121" s="15" t="s">
        <v>390</v>
      </c>
      <c r="C121" s="15" t="s">
        <v>391</v>
      </c>
      <c r="D121" s="15" t="s">
        <v>536</v>
      </c>
      <c r="E121" s="15" t="s">
        <v>537</v>
      </c>
      <c r="F121" s="15" t="s">
        <v>689</v>
      </c>
      <c r="G121" s="15" t="s">
        <v>741</v>
      </c>
      <c r="H121" s="15" t="s">
        <v>742</v>
      </c>
      <c r="I121" s="15">
        <v>329</v>
      </c>
      <c r="J121" s="15">
        <v>0</v>
      </c>
      <c r="K121" s="15"/>
      <c r="L121" s="15" t="s">
        <v>743</v>
      </c>
      <c r="M121" s="16" t="s">
        <v>2576</v>
      </c>
      <c r="N121" s="16" t="s">
        <v>2576</v>
      </c>
      <c r="O121" s="17" t="str">
        <f>IF(NOT("https://maps.app.goo.gl/sZPBQeHukGbCoZDY9" = ""), HYPERLINK("https://maps.app.goo.gl/sZPBQeHukGbCoZDY9", "موقع"), "")</f>
        <v>موقع</v>
      </c>
      <c r="P121" s="15">
        <v>23000</v>
      </c>
      <c r="Q121" s="15" t="s">
        <v>744</v>
      </c>
      <c r="R121" s="24" t="s">
        <v>2746</v>
      </c>
    </row>
    <row r="122" spans="1:18" s="18" customFormat="1" ht="168" x14ac:dyDescent="0.3">
      <c r="A122" s="15" t="s">
        <v>745</v>
      </c>
      <c r="B122" s="15" t="s">
        <v>390</v>
      </c>
      <c r="C122" s="15" t="s">
        <v>391</v>
      </c>
      <c r="D122" s="15" t="s">
        <v>536</v>
      </c>
      <c r="E122" s="15" t="s">
        <v>537</v>
      </c>
      <c r="F122" s="15" t="s">
        <v>689</v>
      </c>
      <c r="G122" s="15" t="s">
        <v>746</v>
      </c>
      <c r="H122" s="15" t="s">
        <v>742</v>
      </c>
      <c r="I122" s="15">
        <v>261</v>
      </c>
      <c r="J122" s="15">
        <v>0</v>
      </c>
      <c r="K122" s="15"/>
      <c r="L122" s="15" t="s">
        <v>747</v>
      </c>
      <c r="M122" s="16" t="s">
        <v>2576</v>
      </c>
      <c r="N122" s="16" t="s">
        <v>2576</v>
      </c>
      <c r="O122" s="17" t="str">
        <f>IF(NOT("https://maps.app.goo.gl/K5ftzPSd6z6MToWU9" = ""), HYPERLINK("https://maps.app.goo.gl/K5ftzPSd6z6MToWU9", "موقع"), "")</f>
        <v>موقع</v>
      </c>
      <c r="P122" s="15">
        <v>36000</v>
      </c>
      <c r="Q122" s="15" t="s">
        <v>748</v>
      </c>
      <c r="R122" s="24" t="s">
        <v>2747</v>
      </c>
    </row>
    <row r="123" spans="1:18" s="18" customFormat="1" ht="100.8" x14ac:dyDescent="0.3">
      <c r="A123" s="15" t="s">
        <v>749</v>
      </c>
      <c r="B123" s="15" t="s">
        <v>390</v>
      </c>
      <c r="C123" s="15" t="s">
        <v>750</v>
      </c>
      <c r="D123" s="15" t="s">
        <v>536</v>
      </c>
      <c r="E123" s="15" t="s">
        <v>537</v>
      </c>
      <c r="F123" s="15" t="s">
        <v>751</v>
      </c>
      <c r="G123" s="15" t="s">
        <v>752</v>
      </c>
      <c r="H123" s="15" t="s">
        <v>643</v>
      </c>
      <c r="I123" s="15">
        <v>129</v>
      </c>
      <c r="J123" s="15">
        <v>0</v>
      </c>
      <c r="K123" s="15"/>
      <c r="L123" s="15" t="s">
        <v>753</v>
      </c>
      <c r="M123" s="16" t="s">
        <v>2576</v>
      </c>
      <c r="N123" s="16" t="s">
        <v>2576</v>
      </c>
      <c r="O123" s="17" t="str">
        <f>IF(NOT("https://maps.app.goo.gl/MKuNLonKeLB1z1gt9" = ""), HYPERLINK("https://maps.app.goo.gl/MKuNLonKeLB1z1gt9", "موقع"), "")</f>
        <v>موقع</v>
      </c>
      <c r="P123" s="15">
        <v>127000</v>
      </c>
      <c r="Q123" s="15" t="s">
        <v>754</v>
      </c>
      <c r="R123" s="24" t="s">
        <v>2748</v>
      </c>
    </row>
    <row r="124" spans="1:18" s="18" customFormat="1" ht="319.2" x14ac:dyDescent="0.3">
      <c r="A124" s="15" t="s">
        <v>637</v>
      </c>
      <c r="B124" s="15" t="s">
        <v>262</v>
      </c>
      <c r="C124" s="15" t="s">
        <v>263</v>
      </c>
      <c r="D124" s="15" t="s">
        <v>536</v>
      </c>
      <c r="E124" s="15" t="s">
        <v>537</v>
      </c>
      <c r="F124" s="15" t="s">
        <v>589</v>
      </c>
      <c r="G124" s="15" t="s">
        <v>599</v>
      </c>
      <c r="H124" s="15" t="s">
        <v>591</v>
      </c>
      <c r="I124" s="15">
        <v>3013</v>
      </c>
      <c r="J124" s="15">
        <v>0</v>
      </c>
      <c r="K124" s="15"/>
      <c r="L124" s="15" t="s">
        <v>638</v>
      </c>
      <c r="M124" s="16" t="s">
        <v>2576</v>
      </c>
      <c r="N124" s="16" t="s">
        <v>2576</v>
      </c>
      <c r="O124" s="16" t="s">
        <v>2576</v>
      </c>
      <c r="P124" s="15">
        <v>361000</v>
      </c>
      <c r="Q124" s="15" t="s">
        <v>639</v>
      </c>
      <c r="R124" s="24" t="s">
        <v>2721</v>
      </c>
    </row>
    <row r="125" spans="1:18" s="18" customFormat="1" ht="134.4" x14ac:dyDescent="0.3">
      <c r="A125" s="15" t="s">
        <v>640</v>
      </c>
      <c r="B125" s="15" t="s">
        <v>262</v>
      </c>
      <c r="C125" s="15" t="s">
        <v>281</v>
      </c>
      <c r="D125" s="15" t="s">
        <v>536</v>
      </c>
      <c r="E125" s="15" t="s">
        <v>537</v>
      </c>
      <c r="F125" s="15" t="s">
        <v>641</v>
      </c>
      <c r="G125" s="15" t="s">
        <v>642</v>
      </c>
      <c r="H125" s="15" t="s">
        <v>643</v>
      </c>
      <c r="I125" s="15">
        <v>738</v>
      </c>
      <c r="J125" s="15">
        <v>0</v>
      </c>
      <c r="K125" s="15"/>
      <c r="L125" s="15" t="s">
        <v>644</v>
      </c>
      <c r="M125" s="16" t="s">
        <v>2576</v>
      </c>
      <c r="N125" s="16" t="s">
        <v>2576</v>
      </c>
      <c r="O125" s="17" t="str">
        <f>IF(NOT("https://maps.app.goo.gl/7QcUK4DzQanPbPWt7" = ""), HYPERLINK("https://maps.app.goo.gl/7QcUK4DzQanPbPWt7", "موقع"), "")</f>
        <v>موقع</v>
      </c>
      <c r="P125" s="15">
        <v>10000</v>
      </c>
      <c r="Q125" s="15" t="s">
        <v>645</v>
      </c>
      <c r="R125" s="24" t="s">
        <v>2722</v>
      </c>
    </row>
    <row r="126" spans="1:18" s="18" customFormat="1" ht="235.2" x14ac:dyDescent="0.3">
      <c r="A126" s="15" t="s">
        <v>646</v>
      </c>
      <c r="B126" s="15" t="s">
        <v>262</v>
      </c>
      <c r="C126" s="15" t="s">
        <v>281</v>
      </c>
      <c r="D126" s="15" t="s">
        <v>536</v>
      </c>
      <c r="E126" s="15" t="s">
        <v>537</v>
      </c>
      <c r="F126" s="15" t="s">
        <v>647</v>
      </c>
      <c r="G126" s="15" t="s">
        <v>648</v>
      </c>
      <c r="H126" s="15" t="s">
        <v>649</v>
      </c>
      <c r="I126" s="15">
        <v>34</v>
      </c>
      <c r="J126" s="15">
        <v>0</v>
      </c>
      <c r="K126" s="15"/>
      <c r="L126" s="15" t="s">
        <v>650</v>
      </c>
      <c r="M126" s="16" t="s">
        <v>2576</v>
      </c>
      <c r="N126" s="16" t="s">
        <v>2576</v>
      </c>
      <c r="O126" s="17" t="str">
        <f>IF(NOT("https://maps.app.goo.gl/VejcLFyRZYZ8fU9VA" = ""), HYPERLINK("https://maps.app.goo.gl/VejcLFyRZYZ8fU9VA", "موقع"), "")</f>
        <v>موقع</v>
      </c>
      <c r="P126" s="15">
        <v>11000</v>
      </c>
      <c r="Q126" s="15" t="s">
        <v>651</v>
      </c>
      <c r="R126" s="24" t="s">
        <v>2723</v>
      </c>
    </row>
    <row r="127" spans="1:18" s="18" customFormat="1" ht="151.19999999999999" x14ac:dyDescent="0.3">
      <c r="A127" s="15" t="s">
        <v>652</v>
      </c>
      <c r="B127" s="15" t="s">
        <v>262</v>
      </c>
      <c r="C127" s="15" t="s">
        <v>281</v>
      </c>
      <c r="D127" s="15" t="s">
        <v>536</v>
      </c>
      <c r="E127" s="15" t="s">
        <v>537</v>
      </c>
      <c r="F127" s="15" t="s">
        <v>549</v>
      </c>
      <c r="G127" s="15" t="s">
        <v>653</v>
      </c>
      <c r="H127" s="15" t="s">
        <v>551</v>
      </c>
      <c r="I127" s="15">
        <v>222</v>
      </c>
      <c r="J127" s="15">
        <v>0</v>
      </c>
      <c r="K127" s="15"/>
      <c r="L127" s="15" t="s">
        <v>654</v>
      </c>
      <c r="M127" s="16" t="s">
        <v>2576</v>
      </c>
      <c r="N127" s="16" t="s">
        <v>2576</v>
      </c>
      <c r="O127" s="16" t="s">
        <v>2576</v>
      </c>
      <c r="P127" s="15">
        <v>26000</v>
      </c>
      <c r="Q127" s="15" t="s">
        <v>655</v>
      </c>
      <c r="R127" s="24" t="s">
        <v>2724</v>
      </c>
    </row>
    <row r="128" spans="1:18" s="18" customFormat="1" ht="184.8" x14ac:dyDescent="0.3">
      <c r="A128" s="15" t="s">
        <v>656</v>
      </c>
      <c r="B128" s="15" t="s">
        <v>262</v>
      </c>
      <c r="C128" s="15" t="s">
        <v>281</v>
      </c>
      <c r="D128" s="15" t="s">
        <v>536</v>
      </c>
      <c r="E128" s="15" t="s">
        <v>537</v>
      </c>
      <c r="F128" s="15" t="s">
        <v>538</v>
      </c>
      <c r="G128" s="15" t="s">
        <v>657</v>
      </c>
      <c r="H128" s="15" t="s">
        <v>540</v>
      </c>
      <c r="I128" s="15">
        <v>719</v>
      </c>
      <c r="J128" s="15">
        <v>0</v>
      </c>
      <c r="K128" s="15"/>
      <c r="L128" s="15" t="s">
        <v>658</v>
      </c>
      <c r="M128" s="16" t="s">
        <v>2576</v>
      </c>
      <c r="N128" s="16" t="s">
        <v>2576</v>
      </c>
      <c r="O128" s="17" t="str">
        <f>IF(NOT("https://maps.app.goo.gl/rJPRDhdsZx115hDH8" = ""), HYPERLINK("https://maps.app.goo.gl/rJPRDhdsZx115hDH8", "موقع"), "")</f>
        <v>موقع</v>
      </c>
      <c r="P128" s="15">
        <v>35000</v>
      </c>
      <c r="Q128" s="15" t="s">
        <v>659</v>
      </c>
      <c r="R128" s="24" t="s">
        <v>2725</v>
      </c>
    </row>
    <row r="129" spans="1:18" s="18" customFormat="1" ht="67.2" x14ac:dyDescent="0.3">
      <c r="A129" s="15" t="s">
        <v>660</v>
      </c>
      <c r="B129" s="15" t="s">
        <v>262</v>
      </c>
      <c r="C129" s="15" t="s">
        <v>281</v>
      </c>
      <c r="D129" s="15" t="s">
        <v>536</v>
      </c>
      <c r="E129" s="15" t="s">
        <v>537</v>
      </c>
      <c r="F129" s="15" t="s">
        <v>589</v>
      </c>
      <c r="G129" s="15" t="s">
        <v>599</v>
      </c>
      <c r="H129" s="15" t="s">
        <v>591</v>
      </c>
      <c r="I129" s="15">
        <v>2245</v>
      </c>
      <c r="J129" s="15">
        <v>0</v>
      </c>
      <c r="K129" s="15"/>
      <c r="L129" s="15" t="s">
        <v>181</v>
      </c>
      <c r="M129" s="16" t="s">
        <v>2576</v>
      </c>
      <c r="N129" s="16" t="s">
        <v>2576</v>
      </c>
      <c r="O129" s="16" t="s">
        <v>2576</v>
      </c>
      <c r="P129" s="15">
        <v>41000</v>
      </c>
      <c r="Q129" s="15" t="s">
        <v>661</v>
      </c>
      <c r="R129" s="24" t="s">
        <v>2726</v>
      </c>
    </row>
    <row r="130" spans="1:18" s="18" customFormat="1" ht="151.19999999999999" x14ac:dyDescent="0.3">
      <c r="A130" s="15" t="s">
        <v>662</v>
      </c>
      <c r="B130" s="15" t="s">
        <v>262</v>
      </c>
      <c r="C130" s="15" t="s">
        <v>281</v>
      </c>
      <c r="D130" s="15" t="s">
        <v>536</v>
      </c>
      <c r="E130" s="15" t="s">
        <v>537</v>
      </c>
      <c r="F130" s="15" t="s">
        <v>549</v>
      </c>
      <c r="G130" s="15" t="s">
        <v>550</v>
      </c>
      <c r="H130" s="15" t="s">
        <v>551</v>
      </c>
      <c r="I130" s="15">
        <v>1229</v>
      </c>
      <c r="J130" s="15">
        <v>0</v>
      </c>
      <c r="K130" s="15"/>
      <c r="L130" s="15" t="s">
        <v>663</v>
      </c>
      <c r="M130" s="16" t="s">
        <v>2576</v>
      </c>
      <c r="N130" s="16" t="s">
        <v>2576</v>
      </c>
      <c r="O130" s="17" t="str">
        <f>IF(NOT("https://maps.app.goo.gl/t36xDz5TTRn1P3xS6" = ""), HYPERLINK("https://maps.app.goo.gl/t36xDz5TTRn1P3xS6", "موقع"), "")</f>
        <v>موقع</v>
      </c>
      <c r="P130" s="15">
        <v>74000</v>
      </c>
      <c r="Q130" s="15" t="s">
        <v>664</v>
      </c>
      <c r="R130" s="24" t="s">
        <v>2727</v>
      </c>
    </row>
    <row r="131" spans="1:18" s="18" customFormat="1" ht="151.19999999999999" x14ac:dyDescent="0.3">
      <c r="A131" s="15" t="s">
        <v>665</v>
      </c>
      <c r="B131" s="15" t="s">
        <v>262</v>
      </c>
      <c r="C131" s="15" t="s">
        <v>281</v>
      </c>
      <c r="D131" s="15" t="s">
        <v>536</v>
      </c>
      <c r="E131" s="15" t="s">
        <v>537</v>
      </c>
      <c r="F131" s="15" t="s">
        <v>641</v>
      </c>
      <c r="G131" s="15" t="s">
        <v>642</v>
      </c>
      <c r="H131" s="15" t="s">
        <v>649</v>
      </c>
      <c r="I131" s="15">
        <v>710</v>
      </c>
      <c r="J131" s="15">
        <v>0</v>
      </c>
      <c r="K131" s="15"/>
      <c r="L131" s="15" t="s">
        <v>666</v>
      </c>
      <c r="M131" s="16" t="s">
        <v>2576</v>
      </c>
      <c r="N131" s="16" t="s">
        <v>2576</v>
      </c>
      <c r="O131" s="16" t="s">
        <v>2576</v>
      </c>
      <c r="P131" s="15">
        <v>78000</v>
      </c>
      <c r="Q131" s="15" t="s">
        <v>667</v>
      </c>
      <c r="R131" s="24" t="s">
        <v>2728</v>
      </c>
    </row>
    <row r="132" spans="1:18" s="18" customFormat="1" ht="117.6" x14ac:dyDescent="0.3">
      <c r="A132" s="15" t="s">
        <v>668</v>
      </c>
      <c r="B132" s="15" t="s">
        <v>262</v>
      </c>
      <c r="C132" s="15" t="s">
        <v>281</v>
      </c>
      <c r="D132" s="15" t="s">
        <v>536</v>
      </c>
      <c r="E132" s="15" t="s">
        <v>537</v>
      </c>
      <c r="F132" s="15" t="s">
        <v>589</v>
      </c>
      <c r="G132" s="15" t="s">
        <v>590</v>
      </c>
      <c r="H132" s="15" t="s">
        <v>606</v>
      </c>
      <c r="I132" s="15">
        <v>7023</v>
      </c>
      <c r="J132" s="15">
        <v>0</v>
      </c>
      <c r="K132" s="15"/>
      <c r="L132" s="15" t="s">
        <v>669</v>
      </c>
      <c r="M132" s="16" t="s">
        <v>2576</v>
      </c>
      <c r="N132" s="16" t="s">
        <v>2576</v>
      </c>
      <c r="O132" s="17" t="str">
        <f>IF(NOT("https://maps.app.goo.gl/KGeMnMeLud49eHXGA" = ""), HYPERLINK("https://maps.app.goo.gl/KGeMnMeLud49eHXGA", "موقع"), "")</f>
        <v>موقع</v>
      </c>
      <c r="P132" s="15">
        <v>98000</v>
      </c>
      <c r="Q132" s="15" t="s">
        <v>670</v>
      </c>
      <c r="R132" s="24" t="s">
        <v>2729</v>
      </c>
    </row>
    <row r="133" spans="1:18" s="18" customFormat="1" ht="117.6" x14ac:dyDescent="0.3">
      <c r="A133" s="15" t="s">
        <v>671</v>
      </c>
      <c r="B133" s="15" t="s">
        <v>262</v>
      </c>
      <c r="C133" s="15" t="s">
        <v>281</v>
      </c>
      <c r="D133" s="15" t="s">
        <v>536</v>
      </c>
      <c r="E133" s="15" t="s">
        <v>537</v>
      </c>
      <c r="F133" s="15" t="s">
        <v>589</v>
      </c>
      <c r="G133" s="15" t="s">
        <v>590</v>
      </c>
      <c r="H133" s="15" t="s">
        <v>591</v>
      </c>
      <c r="I133" s="15">
        <v>2705</v>
      </c>
      <c r="J133" s="15">
        <v>0</v>
      </c>
      <c r="K133" s="15"/>
      <c r="L133" s="15" t="s">
        <v>672</v>
      </c>
      <c r="M133" s="16" t="s">
        <v>2576</v>
      </c>
      <c r="N133" s="16" t="s">
        <v>2576</v>
      </c>
      <c r="O133" s="17" t="str">
        <f>IF(NOT("https://maps.app.goo.gl/49HWKrFtLFJ9RRUW8" = ""), HYPERLINK("https://maps.app.goo.gl/49HWKrFtLFJ9RRUW8", "موقع"), "")</f>
        <v>موقع</v>
      </c>
      <c r="P133" s="15">
        <v>139000</v>
      </c>
      <c r="Q133" s="15" t="s">
        <v>673</v>
      </c>
      <c r="R133" s="24" t="s">
        <v>2730</v>
      </c>
    </row>
    <row r="134" spans="1:18" s="18" customFormat="1" ht="67.2" x14ac:dyDescent="0.3">
      <c r="A134" s="15" t="s">
        <v>674</v>
      </c>
      <c r="B134" s="15" t="s">
        <v>262</v>
      </c>
      <c r="C134" s="15" t="s">
        <v>281</v>
      </c>
      <c r="D134" s="15" t="s">
        <v>536</v>
      </c>
      <c r="E134" s="15" t="s">
        <v>537</v>
      </c>
      <c r="F134" s="15" t="s">
        <v>566</v>
      </c>
      <c r="G134" s="15" t="s">
        <v>675</v>
      </c>
      <c r="H134" s="15" t="s">
        <v>676</v>
      </c>
      <c r="I134" s="15">
        <v>1204</v>
      </c>
      <c r="J134" s="15">
        <v>0</v>
      </c>
      <c r="K134" s="15"/>
      <c r="L134" s="15" t="s">
        <v>677</v>
      </c>
      <c r="M134" s="16" t="s">
        <v>2576</v>
      </c>
      <c r="N134" s="16" t="s">
        <v>2576</v>
      </c>
      <c r="O134" s="17" t="str">
        <f>IF(NOT("https://maps.app.goo.gl/RjnTzXu71B6DuHhb6" = ""), HYPERLINK("https://maps.app.goo.gl/RjnTzXu71B6DuHhb6", "موقع"), "")</f>
        <v>موقع</v>
      </c>
      <c r="P134" s="15">
        <v>156000</v>
      </c>
      <c r="Q134" s="15" t="s">
        <v>678</v>
      </c>
      <c r="R134" s="24" t="s">
        <v>2731</v>
      </c>
    </row>
    <row r="135" spans="1:18" s="18" customFormat="1" ht="100.8" x14ac:dyDescent="0.3">
      <c r="A135" s="15" t="s">
        <v>679</v>
      </c>
      <c r="B135" s="15" t="s">
        <v>262</v>
      </c>
      <c r="C135" s="15" t="s">
        <v>281</v>
      </c>
      <c r="D135" s="15" t="s">
        <v>536</v>
      </c>
      <c r="E135" s="15" t="s">
        <v>537</v>
      </c>
      <c r="F135" s="15" t="s">
        <v>589</v>
      </c>
      <c r="G135" s="15" t="s">
        <v>590</v>
      </c>
      <c r="H135" s="15" t="s">
        <v>591</v>
      </c>
      <c r="I135" s="15">
        <v>4522</v>
      </c>
      <c r="J135" s="15">
        <v>0</v>
      </c>
      <c r="K135" s="15"/>
      <c r="L135" s="15" t="s">
        <v>680</v>
      </c>
      <c r="M135" s="16" t="s">
        <v>2576</v>
      </c>
      <c r="N135" s="17" t="str">
        <f>IF(NOT("https://truemarkets3d.net/3d-virtual-tour/housingbank-realestate/phase3/aq-bld-100279/index.html" = ""), HYPERLINK("https://truemarkets3d.net/3d-virtual-tour/housingbank-realestate/phase3/aq-bld-100279/index.html", "جولة"), "")</f>
        <v>جولة</v>
      </c>
      <c r="O135" s="16" t="s">
        <v>2576</v>
      </c>
      <c r="P135" s="15">
        <v>165000</v>
      </c>
      <c r="Q135" s="15" t="s">
        <v>681</v>
      </c>
      <c r="R135" s="24" t="s">
        <v>2732</v>
      </c>
    </row>
    <row r="136" spans="1:18" s="18" customFormat="1" ht="168" x14ac:dyDescent="0.3">
      <c r="A136" s="15" t="s">
        <v>682</v>
      </c>
      <c r="B136" s="15" t="s">
        <v>262</v>
      </c>
      <c r="C136" s="15" t="s">
        <v>281</v>
      </c>
      <c r="D136" s="15" t="s">
        <v>536</v>
      </c>
      <c r="E136" s="15" t="s">
        <v>537</v>
      </c>
      <c r="F136" s="15" t="s">
        <v>589</v>
      </c>
      <c r="G136" s="15" t="s">
        <v>590</v>
      </c>
      <c r="H136" s="15" t="s">
        <v>591</v>
      </c>
      <c r="I136" s="15">
        <v>8458</v>
      </c>
      <c r="J136" s="15">
        <v>0</v>
      </c>
      <c r="K136" s="15"/>
      <c r="L136" s="15" t="s">
        <v>683</v>
      </c>
      <c r="M136" s="16" t="s">
        <v>2576</v>
      </c>
      <c r="N136" s="16" t="s">
        <v>2576</v>
      </c>
      <c r="O136" s="17" t="str">
        <f>IF(NOT("https://maps.app.goo.gl/eHMbk218CNd2PGtDA" = ""), HYPERLINK("https://maps.app.goo.gl/eHMbk218CNd2PGtDA", "موقع"), "")</f>
        <v>موقع</v>
      </c>
      <c r="P136" s="15">
        <v>173000</v>
      </c>
      <c r="Q136" s="15" t="s">
        <v>684</v>
      </c>
      <c r="R136" s="24" t="s">
        <v>2733</v>
      </c>
    </row>
    <row r="137" spans="1:18" s="18" customFormat="1" ht="151.19999999999999" x14ac:dyDescent="0.3">
      <c r="A137" s="15" t="s">
        <v>685</v>
      </c>
      <c r="B137" s="15" t="s">
        <v>262</v>
      </c>
      <c r="C137" s="15" t="s">
        <v>281</v>
      </c>
      <c r="D137" s="15" t="s">
        <v>536</v>
      </c>
      <c r="E137" s="15" t="s">
        <v>537</v>
      </c>
      <c r="F137" s="15" t="s">
        <v>589</v>
      </c>
      <c r="G137" s="15" t="s">
        <v>599</v>
      </c>
      <c r="H137" s="15" t="s">
        <v>591</v>
      </c>
      <c r="I137" s="15">
        <v>4882</v>
      </c>
      <c r="J137" s="15">
        <v>0</v>
      </c>
      <c r="K137" s="15"/>
      <c r="L137" s="15" t="s">
        <v>686</v>
      </c>
      <c r="M137" s="16" t="s">
        <v>2576</v>
      </c>
      <c r="N137" s="16" t="s">
        <v>2576</v>
      </c>
      <c r="O137" s="16" t="s">
        <v>2576</v>
      </c>
      <c r="P137" s="15">
        <v>186000</v>
      </c>
      <c r="Q137" s="15" t="s">
        <v>687</v>
      </c>
      <c r="R137" s="24" t="s">
        <v>2734</v>
      </c>
    </row>
    <row r="138" spans="1:18" s="18" customFormat="1" ht="151.19999999999999" x14ac:dyDescent="0.3">
      <c r="A138" s="15" t="s">
        <v>688</v>
      </c>
      <c r="B138" s="15" t="s">
        <v>262</v>
      </c>
      <c r="C138" s="15" t="s">
        <v>281</v>
      </c>
      <c r="D138" s="15" t="s">
        <v>536</v>
      </c>
      <c r="E138" s="15" t="s">
        <v>537</v>
      </c>
      <c r="F138" s="15" t="s">
        <v>689</v>
      </c>
      <c r="G138" s="15" t="s">
        <v>690</v>
      </c>
      <c r="H138" s="15" t="s">
        <v>691</v>
      </c>
      <c r="I138" s="15">
        <v>674</v>
      </c>
      <c r="J138" s="15">
        <v>0</v>
      </c>
      <c r="K138" s="15"/>
      <c r="L138" s="15" t="s">
        <v>692</v>
      </c>
      <c r="M138" s="16" t="s">
        <v>2576</v>
      </c>
      <c r="N138" s="16" t="s">
        <v>2576</v>
      </c>
      <c r="O138" s="17" t="str">
        <f>IF(NOT("https://maps.app.goo.gl/3reEhsj6DkHv5LKX6" = ""), HYPERLINK("https://maps.app.goo.gl/3reEhsj6DkHv5LKX6", "موقع"), "")</f>
        <v>موقع</v>
      </c>
      <c r="P138" s="15">
        <v>196000</v>
      </c>
      <c r="Q138" s="15" t="s">
        <v>693</v>
      </c>
      <c r="R138" s="24" t="s">
        <v>2735</v>
      </c>
    </row>
    <row r="139" spans="1:18" s="18" customFormat="1" ht="84" x14ac:dyDescent="0.3">
      <c r="A139" s="15" t="s">
        <v>694</v>
      </c>
      <c r="B139" s="15" t="s">
        <v>262</v>
      </c>
      <c r="C139" s="15" t="s">
        <v>281</v>
      </c>
      <c r="D139" s="15" t="s">
        <v>536</v>
      </c>
      <c r="E139" s="15" t="s">
        <v>537</v>
      </c>
      <c r="F139" s="15" t="s">
        <v>589</v>
      </c>
      <c r="G139" s="15" t="s">
        <v>590</v>
      </c>
      <c r="H139" s="15" t="s">
        <v>591</v>
      </c>
      <c r="I139" s="15">
        <v>8503</v>
      </c>
      <c r="J139" s="15">
        <v>0</v>
      </c>
      <c r="K139" s="15"/>
      <c r="L139" s="15" t="s">
        <v>695</v>
      </c>
      <c r="M139" s="16" t="s">
        <v>2576</v>
      </c>
      <c r="N139" s="17" t="str">
        <f>IF(NOT("https://truemarkets3d.net/3d-virtual-tour/housingbank-realestate/phase3/aq-bld-100236/index.html" = ""), HYPERLINK("https://truemarkets3d.net/3d-virtual-tour/housingbank-realestate/phase3/aq-bld-100236/index.html", "جولة"), "")</f>
        <v>جولة</v>
      </c>
      <c r="O139" s="17" t="str">
        <f>IF(NOT("https://maps.app.goo.gl/fmmGqj45Lk5UCFKY8" = ""), HYPERLINK("https://maps.app.goo.gl/fmmGqj45Lk5UCFKY8", "موقع"), "")</f>
        <v>موقع</v>
      </c>
      <c r="P139" s="15">
        <v>225000</v>
      </c>
      <c r="Q139" s="15" t="s">
        <v>696</v>
      </c>
      <c r="R139" s="24" t="s">
        <v>2736</v>
      </c>
    </row>
    <row r="140" spans="1:18" s="18" customFormat="1" ht="117.6" x14ac:dyDescent="0.3">
      <c r="A140" s="15" t="s">
        <v>697</v>
      </c>
      <c r="B140" s="15" t="s">
        <v>262</v>
      </c>
      <c r="C140" s="15" t="s">
        <v>281</v>
      </c>
      <c r="D140" s="15" t="s">
        <v>536</v>
      </c>
      <c r="E140" s="15" t="s">
        <v>537</v>
      </c>
      <c r="F140" s="15" t="s">
        <v>698</v>
      </c>
      <c r="G140" s="15" t="s">
        <v>699</v>
      </c>
      <c r="H140" s="15" t="s">
        <v>700</v>
      </c>
      <c r="I140" s="15">
        <v>340</v>
      </c>
      <c r="J140" s="15">
        <v>0</v>
      </c>
      <c r="K140" s="15"/>
      <c r="L140" s="15" t="s">
        <v>701</v>
      </c>
      <c r="M140" s="16" t="s">
        <v>2576</v>
      </c>
      <c r="N140" s="16" t="s">
        <v>2576</v>
      </c>
      <c r="O140" s="17" t="str">
        <f>IF(NOT("https://maps.app.goo.gl/bozGkDugUrQAFjoUA" = ""), HYPERLINK("https://maps.app.goo.gl/bozGkDugUrQAFjoUA", "موقع"), "")</f>
        <v>موقع</v>
      </c>
      <c r="P140" s="15">
        <v>313000</v>
      </c>
      <c r="Q140" s="15" t="s">
        <v>702</v>
      </c>
      <c r="R140" s="24" t="s">
        <v>2737</v>
      </c>
    </row>
    <row r="141" spans="1:18" s="18" customFormat="1" ht="386.4" x14ac:dyDescent="0.3">
      <c r="A141" s="15" t="s">
        <v>703</v>
      </c>
      <c r="B141" s="15" t="s">
        <v>262</v>
      </c>
      <c r="C141" s="15" t="s">
        <v>281</v>
      </c>
      <c r="D141" s="15" t="s">
        <v>536</v>
      </c>
      <c r="E141" s="15" t="s">
        <v>537</v>
      </c>
      <c r="F141" s="15" t="s">
        <v>543</v>
      </c>
      <c r="G141" s="15" t="s">
        <v>704</v>
      </c>
      <c r="H141" s="15" t="s">
        <v>545</v>
      </c>
      <c r="I141" s="15">
        <v>774</v>
      </c>
      <c r="J141" s="15">
        <v>0</v>
      </c>
      <c r="K141" s="15"/>
      <c r="L141" s="15" t="s">
        <v>705</v>
      </c>
      <c r="M141" s="16" t="s">
        <v>2576</v>
      </c>
      <c r="N141" s="16" t="s">
        <v>2576</v>
      </c>
      <c r="O141" s="17" t="str">
        <f>IF(NOT("https://maps.app.goo.gl/82dRELJSixjWugLp7" = ""), HYPERLINK("https://maps.app.goo.gl/82dRELJSixjWugLp7", "موقع"), "")</f>
        <v>موقع</v>
      </c>
      <c r="P141" s="15">
        <v>319000</v>
      </c>
      <c r="Q141" s="15" t="s">
        <v>706</v>
      </c>
      <c r="R141" s="24" t="s">
        <v>2738</v>
      </c>
    </row>
    <row r="142" spans="1:18" s="18" customFormat="1" ht="117.6" x14ac:dyDescent="0.3">
      <c r="A142" s="15" t="s">
        <v>707</v>
      </c>
      <c r="B142" s="15" t="s">
        <v>262</v>
      </c>
      <c r="C142" s="15" t="s">
        <v>380</v>
      </c>
      <c r="D142" s="15" t="s">
        <v>536</v>
      </c>
      <c r="E142" s="15" t="s">
        <v>537</v>
      </c>
      <c r="F142" s="15" t="s">
        <v>708</v>
      </c>
      <c r="G142" s="15" t="s">
        <v>709</v>
      </c>
      <c r="H142" s="15" t="s">
        <v>710</v>
      </c>
      <c r="I142" s="15">
        <v>314</v>
      </c>
      <c r="J142" s="15">
        <v>0</v>
      </c>
      <c r="K142" s="15"/>
      <c r="L142" s="15" t="s">
        <v>711</v>
      </c>
      <c r="M142" s="16" t="s">
        <v>2576</v>
      </c>
      <c r="N142" s="16" t="s">
        <v>2576</v>
      </c>
      <c r="O142" s="17" t="str">
        <f>IF(NOT("https://maps.app.goo.gl/mkMofyR5tFYsJniV8" = ""), HYPERLINK("https://maps.app.goo.gl/mkMofyR5tFYsJniV8", "موقع"), "")</f>
        <v>موقع</v>
      </c>
      <c r="P142" s="15">
        <v>74000</v>
      </c>
      <c r="Q142" s="15" t="s">
        <v>712</v>
      </c>
      <c r="R142" s="24" t="s">
        <v>2739</v>
      </c>
    </row>
    <row r="143" spans="1:18" s="18" customFormat="1" ht="201.6" x14ac:dyDescent="0.3">
      <c r="A143" s="15" t="s">
        <v>713</v>
      </c>
      <c r="B143" s="15" t="s">
        <v>262</v>
      </c>
      <c r="C143" s="15" t="s">
        <v>380</v>
      </c>
      <c r="D143" s="15" t="s">
        <v>536</v>
      </c>
      <c r="E143" s="15" t="s">
        <v>537</v>
      </c>
      <c r="F143" s="15" t="s">
        <v>714</v>
      </c>
      <c r="G143" s="15" t="s">
        <v>715</v>
      </c>
      <c r="H143" s="15" t="s">
        <v>540</v>
      </c>
      <c r="I143" s="15">
        <v>777</v>
      </c>
      <c r="J143" s="15">
        <v>0</v>
      </c>
      <c r="K143" s="15"/>
      <c r="L143" s="15" t="s">
        <v>716</v>
      </c>
      <c r="M143" s="16" t="s">
        <v>2576</v>
      </c>
      <c r="N143" s="16" t="s">
        <v>2576</v>
      </c>
      <c r="O143" s="17" t="str">
        <f>IF(NOT("https://maps.app.goo.gl/KFFTPLZmx9WgcFJ3A" = ""), HYPERLINK("https://maps.app.goo.gl/KFFTPLZmx9WgcFJ3A", "موقع"), "")</f>
        <v>موقع</v>
      </c>
      <c r="P143" s="15">
        <v>100000</v>
      </c>
      <c r="Q143" s="15" t="s">
        <v>717</v>
      </c>
      <c r="R143" s="24" t="s">
        <v>2740</v>
      </c>
    </row>
    <row r="144" spans="1:18" s="18" customFormat="1" ht="100.8" x14ac:dyDescent="0.3">
      <c r="A144" s="15" t="s">
        <v>755</v>
      </c>
      <c r="B144" s="15" t="s">
        <v>262</v>
      </c>
      <c r="C144" s="15" t="s">
        <v>421</v>
      </c>
      <c r="D144" s="15" t="s">
        <v>536</v>
      </c>
      <c r="E144" s="15" t="s">
        <v>537</v>
      </c>
      <c r="F144" s="15" t="s">
        <v>604</v>
      </c>
      <c r="G144" s="15" t="s">
        <v>605</v>
      </c>
      <c r="H144" s="15" t="s">
        <v>606</v>
      </c>
      <c r="I144" s="15">
        <v>854</v>
      </c>
      <c r="J144" s="15">
        <v>0</v>
      </c>
      <c r="K144" s="15"/>
      <c r="L144" s="15" t="s">
        <v>756</v>
      </c>
      <c r="M144" s="16" t="s">
        <v>2576</v>
      </c>
      <c r="N144" s="16" t="s">
        <v>2576</v>
      </c>
      <c r="O144" s="17" t="str">
        <f>IF(NOT("https://maps.app.goo.gl/wdysZEkQ4eVohZRc8" = ""), HYPERLINK("https://maps.app.goo.gl/wdysZEkQ4eVohZRc8", "موقع"), "")</f>
        <v>موقع</v>
      </c>
      <c r="P144" s="15">
        <v>38000</v>
      </c>
      <c r="Q144" s="15" t="s">
        <v>757</v>
      </c>
      <c r="R144" s="24" t="s">
        <v>2749</v>
      </c>
    </row>
    <row r="145" spans="1:18" s="18" customFormat="1" ht="100.8" x14ac:dyDescent="0.3">
      <c r="A145" s="15" t="s">
        <v>758</v>
      </c>
      <c r="B145" s="15" t="s">
        <v>262</v>
      </c>
      <c r="C145" s="15" t="s">
        <v>421</v>
      </c>
      <c r="D145" s="15" t="s">
        <v>536</v>
      </c>
      <c r="E145" s="15" t="s">
        <v>537</v>
      </c>
      <c r="F145" s="15" t="s">
        <v>604</v>
      </c>
      <c r="G145" s="15" t="s">
        <v>605</v>
      </c>
      <c r="H145" s="15" t="s">
        <v>606</v>
      </c>
      <c r="I145" s="15">
        <v>576</v>
      </c>
      <c r="J145" s="15">
        <v>0</v>
      </c>
      <c r="K145" s="15"/>
      <c r="L145" s="15" t="s">
        <v>759</v>
      </c>
      <c r="M145" s="16" t="s">
        <v>2576</v>
      </c>
      <c r="N145" s="16" t="s">
        <v>2576</v>
      </c>
      <c r="O145" s="17" t="str">
        <f>IF(NOT("https://maps.app.goo.gl/eBjN3nffY4XHPcbF7" = ""), HYPERLINK("https://maps.app.goo.gl/eBjN3nffY4XHPcbF7", "موقع"), "")</f>
        <v>موقع</v>
      </c>
      <c r="P145" s="15">
        <v>46000</v>
      </c>
      <c r="Q145" s="15" t="s">
        <v>760</v>
      </c>
      <c r="R145" s="24" t="s">
        <v>2750</v>
      </c>
    </row>
    <row r="146" spans="1:18" s="18" customFormat="1" ht="50.4" x14ac:dyDescent="0.3">
      <c r="A146" s="15" t="s">
        <v>535</v>
      </c>
      <c r="B146" s="15" t="s">
        <v>20</v>
      </c>
      <c r="C146" s="15" t="s">
        <v>54</v>
      </c>
      <c r="D146" s="15" t="s">
        <v>536</v>
      </c>
      <c r="E146" s="15" t="s">
        <v>537</v>
      </c>
      <c r="F146" s="15" t="s">
        <v>538</v>
      </c>
      <c r="G146" s="15" t="s">
        <v>539</v>
      </c>
      <c r="H146" s="15" t="s">
        <v>540</v>
      </c>
      <c r="I146" s="15">
        <v>139</v>
      </c>
      <c r="J146" s="15">
        <v>121</v>
      </c>
      <c r="K146" s="15" t="s">
        <v>75</v>
      </c>
      <c r="L146" s="15" t="s">
        <v>126</v>
      </c>
      <c r="M146" s="16" t="s">
        <v>2576</v>
      </c>
      <c r="N146" s="16" t="s">
        <v>2576</v>
      </c>
      <c r="O146" s="17" t="str">
        <f>IF(NOT("https://maps.app.goo.gl/Lr51HveMk3JcArJx8" = ""), HYPERLINK("https://maps.app.goo.gl/Lr51HveMk3JcArJx8", "موقع"), "")</f>
        <v>موقع</v>
      </c>
      <c r="P146" s="15">
        <v>5000</v>
      </c>
      <c r="Q146" s="15" t="s">
        <v>541</v>
      </c>
      <c r="R146" s="24" t="s">
        <v>2690</v>
      </c>
    </row>
    <row r="147" spans="1:18" s="18" customFormat="1" ht="50.4" x14ac:dyDescent="0.3">
      <c r="A147" s="15" t="s">
        <v>542</v>
      </c>
      <c r="B147" s="15" t="s">
        <v>20</v>
      </c>
      <c r="C147" s="15" t="s">
        <v>54</v>
      </c>
      <c r="D147" s="15" t="s">
        <v>536</v>
      </c>
      <c r="E147" s="15" t="s">
        <v>537</v>
      </c>
      <c r="F147" s="15" t="s">
        <v>543</v>
      </c>
      <c r="G147" s="15" t="s">
        <v>544</v>
      </c>
      <c r="H147" s="15" t="s">
        <v>545</v>
      </c>
      <c r="I147" s="15">
        <v>482</v>
      </c>
      <c r="J147" s="15">
        <v>112</v>
      </c>
      <c r="K147" s="15" t="s">
        <v>32</v>
      </c>
      <c r="L147" s="15" t="s">
        <v>546</v>
      </c>
      <c r="M147" s="16" t="s">
        <v>2576</v>
      </c>
      <c r="N147" s="16" t="s">
        <v>2576</v>
      </c>
      <c r="O147" s="17" t="str">
        <f>IF(NOT("https://maps.app.goo.gl/Q4DrXSo4TcHdgM757" = ""), HYPERLINK("https://maps.app.goo.gl/Q4DrXSo4TcHdgM757", "موقع"), "")</f>
        <v>موقع</v>
      </c>
      <c r="P147" s="15">
        <v>15000</v>
      </c>
      <c r="Q147" s="15" t="s">
        <v>547</v>
      </c>
      <c r="R147" s="24" t="s">
        <v>2691</v>
      </c>
    </row>
    <row r="148" spans="1:18" s="18" customFormat="1" ht="100.8" x14ac:dyDescent="0.3">
      <c r="A148" s="15" t="s">
        <v>548</v>
      </c>
      <c r="B148" s="15" t="s">
        <v>20</v>
      </c>
      <c r="C148" s="15" t="s">
        <v>54</v>
      </c>
      <c r="D148" s="15" t="s">
        <v>536</v>
      </c>
      <c r="E148" s="15" t="s">
        <v>537</v>
      </c>
      <c r="F148" s="15" t="s">
        <v>549</v>
      </c>
      <c r="G148" s="15" t="s">
        <v>550</v>
      </c>
      <c r="H148" s="15" t="s">
        <v>551</v>
      </c>
      <c r="I148" s="15">
        <v>616</v>
      </c>
      <c r="J148" s="15">
        <v>121</v>
      </c>
      <c r="K148" s="15" t="s">
        <v>75</v>
      </c>
      <c r="L148" s="15" t="s">
        <v>115</v>
      </c>
      <c r="M148" s="16" t="s">
        <v>2576</v>
      </c>
      <c r="N148" s="16" t="s">
        <v>2576</v>
      </c>
      <c r="O148" s="17" t="str">
        <f>IF(NOT("https://maps.app.goo.gl/Vofq87D3rfv8wWtp8" = ""), HYPERLINK("https://maps.app.goo.gl/Vofq87D3rfv8wWtp8", "موقع"), "")</f>
        <v>موقع</v>
      </c>
      <c r="P148" s="15">
        <v>17000</v>
      </c>
      <c r="Q148" s="15" t="s">
        <v>552</v>
      </c>
      <c r="R148" s="24" t="s">
        <v>2692</v>
      </c>
    </row>
    <row r="149" spans="1:18" s="18" customFormat="1" ht="84" x14ac:dyDescent="0.3">
      <c r="A149" s="15" t="s">
        <v>553</v>
      </c>
      <c r="B149" s="15" t="s">
        <v>20</v>
      </c>
      <c r="C149" s="15" t="s">
        <v>54</v>
      </c>
      <c r="D149" s="15" t="s">
        <v>536</v>
      </c>
      <c r="E149" s="15" t="s">
        <v>537</v>
      </c>
      <c r="F149" s="15" t="s">
        <v>554</v>
      </c>
      <c r="G149" s="15" t="s">
        <v>555</v>
      </c>
      <c r="H149" s="15" t="s">
        <v>556</v>
      </c>
      <c r="I149" s="15">
        <v>908</v>
      </c>
      <c r="J149" s="15">
        <v>113</v>
      </c>
      <c r="K149" s="15" t="s">
        <v>32</v>
      </c>
      <c r="L149" s="15" t="s">
        <v>557</v>
      </c>
      <c r="M149" s="16" t="s">
        <v>2576</v>
      </c>
      <c r="N149" s="16" t="s">
        <v>2576</v>
      </c>
      <c r="O149" s="17" t="str">
        <f>IF(NOT("https://maps.app.goo.gl/q8WZkNESRigaBnKe6" = ""), HYPERLINK("https://maps.app.goo.gl/q8WZkNESRigaBnKe6", "موقع"), "")</f>
        <v>موقع</v>
      </c>
      <c r="P149" s="15">
        <v>19000</v>
      </c>
      <c r="Q149" s="15" t="s">
        <v>558</v>
      </c>
      <c r="R149" s="24" t="s">
        <v>2693</v>
      </c>
    </row>
    <row r="150" spans="1:18" s="18" customFormat="1" ht="84" x14ac:dyDescent="0.3">
      <c r="A150" s="15" t="s">
        <v>559</v>
      </c>
      <c r="B150" s="15" t="s">
        <v>20</v>
      </c>
      <c r="C150" s="15" t="s">
        <v>54</v>
      </c>
      <c r="D150" s="15" t="s">
        <v>536</v>
      </c>
      <c r="E150" s="15" t="s">
        <v>537</v>
      </c>
      <c r="F150" s="15" t="s">
        <v>560</v>
      </c>
      <c r="G150" s="15" t="s">
        <v>561</v>
      </c>
      <c r="H150" s="15" t="s">
        <v>562</v>
      </c>
      <c r="I150" s="15">
        <v>701</v>
      </c>
      <c r="J150" s="15">
        <v>101</v>
      </c>
      <c r="K150" s="15" t="s">
        <v>41</v>
      </c>
      <c r="L150" s="15" t="s">
        <v>563</v>
      </c>
      <c r="M150" s="16" t="s">
        <v>2576</v>
      </c>
      <c r="N150" s="16" t="s">
        <v>2576</v>
      </c>
      <c r="O150" s="17" t="str">
        <f>IF(NOT("https://maps.app.goo.gl/owQLz47UghAyxTwP9" = ""), HYPERLINK("https://maps.app.goo.gl/owQLz47UghAyxTwP9", "موقع"), "")</f>
        <v>موقع</v>
      </c>
      <c r="P150" s="15">
        <v>19000</v>
      </c>
      <c r="Q150" s="15" t="s">
        <v>564</v>
      </c>
      <c r="R150" s="24" t="s">
        <v>2694</v>
      </c>
    </row>
    <row r="151" spans="1:18" s="18" customFormat="1" ht="100.8" x14ac:dyDescent="0.3">
      <c r="A151" s="15" t="s">
        <v>565</v>
      </c>
      <c r="B151" s="15" t="s">
        <v>20</v>
      </c>
      <c r="C151" s="15" t="s">
        <v>54</v>
      </c>
      <c r="D151" s="15" t="s">
        <v>536</v>
      </c>
      <c r="E151" s="15" t="s">
        <v>537</v>
      </c>
      <c r="F151" s="15" t="s">
        <v>566</v>
      </c>
      <c r="G151" s="15" t="s">
        <v>567</v>
      </c>
      <c r="H151" s="15" t="s">
        <v>568</v>
      </c>
      <c r="I151" s="15">
        <v>1932</v>
      </c>
      <c r="J151" s="15">
        <v>111</v>
      </c>
      <c r="K151" s="15" t="s">
        <v>32</v>
      </c>
      <c r="L151" s="15" t="s">
        <v>569</v>
      </c>
      <c r="M151" s="16" t="s">
        <v>2576</v>
      </c>
      <c r="N151" s="16" t="s">
        <v>2576</v>
      </c>
      <c r="O151" s="17" t="str">
        <f>IF(NOT("https://maps.app.goo.gl/h9vkGZTUK3shCgVa7" = ""), HYPERLINK("https://maps.app.goo.gl/h9vkGZTUK3shCgVa7", "موقع"), "")</f>
        <v>موقع</v>
      </c>
      <c r="P151" s="15">
        <v>19000</v>
      </c>
      <c r="Q151" s="15" t="s">
        <v>570</v>
      </c>
      <c r="R151" s="24" t="s">
        <v>2695</v>
      </c>
    </row>
    <row r="152" spans="1:18" s="18" customFormat="1" ht="50.4" x14ac:dyDescent="0.3">
      <c r="A152" s="15" t="s">
        <v>571</v>
      </c>
      <c r="B152" s="15" t="s">
        <v>20</v>
      </c>
      <c r="C152" s="15" t="s">
        <v>54</v>
      </c>
      <c r="D152" s="15" t="s">
        <v>536</v>
      </c>
      <c r="E152" s="15" t="s">
        <v>537</v>
      </c>
      <c r="F152" s="15" t="s">
        <v>543</v>
      </c>
      <c r="G152" s="15" t="s">
        <v>544</v>
      </c>
      <c r="H152" s="15" t="s">
        <v>545</v>
      </c>
      <c r="I152" s="15">
        <v>482</v>
      </c>
      <c r="J152" s="15">
        <v>113</v>
      </c>
      <c r="K152" s="15" t="s">
        <v>32</v>
      </c>
      <c r="L152" s="15" t="s">
        <v>572</v>
      </c>
      <c r="M152" s="16" t="s">
        <v>2576</v>
      </c>
      <c r="N152" s="16" t="s">
        <v>2576</v>
      </c>
      <c r="O152" s="17" t="str">
        <f>IF(NOT("https://maps.app.goo.gl/Q4DrXSo4TcHdgM757" = ""), HYPERLINK("https://maps.app.goo.gl/Q4DrXSo4TcHdgM757", "موقع"), "")</f>
        <v>موقع</v>
      </c>
      <c r="P152" s="15">
        <v>20000</v>
      </c>
      <c r="Q152" s="15" t="s">
        <v>573</v>
      </c>
      <c r="R152" s="24" t="s">
        <v>2696</v>
      </c>
    </row>
    <row r="153" spans="1:18" s="18" customFormat="1" ht="50.4" x14ac:dyDescent="0.3">
      <c r="A153" s="15" t="s">
        <v>574</v>
      </c>
      <c r="B153" s="15" t="s">
        <v>20</v>
      </c>
      <c r="C153" s="15" t="s">
        <v>54</v>
      </c>
      <c r="D153" s="15" t="s">
        <v>536</v>
      </c>
      <c r="E153" s="15" t="s">
        <v>537</v>
      </c>
      <c r="F153" s="15" t="s">
        <v>560</v>
      </c>
      <c r="G153" s="15" t="s">
        <v>561</v>
      </c>
      <c r="H153" s="15" t="s">
        <v>562</v>
      </c>
      <c r="I153" s="15">
        <v>701</v>
      </c>
      <c r="J153" s="15">
        <v>113</v>
      </c>
      <c r="K153" s="15" t="s">
        <v>32</v>
      </c>
      <c r="L153" s="15" t="s">
        <v>563</v>
      </c>
      <c r="M153" s="16" t="s">
        <v>2576</v>
      </c>
      <c r="N153" s="16" t="s">
        <v>2576</v>
      </c>
      <c r="O153" s="17" t="str">
        <f>IF(NOT("https://maps.app.goo.gl/kSmHhrt5qJAVUmas7" = ""), HYPERLINK("https://maps.app.goo.gl/kSmHhrt5qJAVUmas7", "موقع"), "")</f>
        <v>موقع</v>
      </c>
      <c r="P153" s="15">
        <v>21000</v>
      </c>
      <c r="Q153" s="15" t="s">
        <v>575</v>
      </c>
      <c r="R153" s="24" t="s">
        <v>2697</v>
      </c>
    </row>
    <row r="154" spans="1:18" s="18" customFormat="1" ht="50.4" x14ac:dyDescent="0.3">
      <c r="A154" s="15" t="s">
        <v>576</v>
      </c>
      <c r="B154" s="15" t="s">
        <v>20</v>
      </c>
      <c r="C154" s="15" t="s">
        <v>54</v>
      </c>
      <c r="D154" s="15" t="s">
        <v>536</v>
      </c>
      <c r="E154" s="15" t="s">
        <v>537</v>
      </c>
      <c r="F154" s="15" t="s">
        <v>554</v>
      </c>
      <c r="G154" s="15" t="s">
        <v>555</v>
      </c>
      <c r="H154" s="15" t="s">
        <v>556</v>
      </c>
      <c r="I154" s="15">
        <v>880</v>
      </c>
      <c r="J154" s="15">
        <v>114</v>
      </c>
      <c r="K154" s="15" t="s">
        <v>32</v>
      </c>
      <c r="L154" s="15" t="s">
        <v>572</v>
      </c>
      <c r="M154" s="16" t="s">
        <v>2576</v>
      </c>
      <c r="N154" s="16" t="s">
        <v>2576</v>
      </c>
      <c r="O154" s="17" t="str">
        <f>IF(NOT("https://maps.app.goo.gl/wx7BCUua3V5JrTFD7" = ""), HYPERLINK("https://maps.app.goo.gl/wx7BCUua3V5JrTFD7", "موقع"), "")</f>
        <v>موقع</v>
      </c>
      <c r="P154" s="15">
        <v>22000</v>
      </c>
      <c r="Q154" s="15" t="s">
        <v>577</v>
      </c>
      <c r="R154" s="24" t="s">
        <v>2698</v>
      </c>
    </row>
    <row r="155" spans="1:18" s="18" customFormat="1" ht="100.8" x14ac:dyDescent="0.3">
      <c r="A155" s="15" t="s">
        <v>578</v>
      </c>
      <c r="B155" s="15" t="s">
        <v>20</v>
      </c>
      <c r="C155" s="15" t="s">
        <v>54</v>
      </c>
      <c r="D155" s="15" t="s">
        <v>536</v>
      </c>
      <c r="E155" s="15" t="s">
        <v>537</v>
      </c>
      <c r="F155" s="15" t="s">
        <v>554</v>
      </c>
      <c r="G155" s="15" t="s">
        <v>555</v>
      </c>
      <c r="H155" s="15" t="s">
        <v>556</v>
      </c>
      <c r="I155" s="15">
        <v>936</v>
      </c>
      <c r="J155" s="15">
        <v>104</v>
      </c>
      <c r="K155" s="15" t="s">
        <v>41</v>
      </c>
      <c r="L155" s="15" t="s">
        <v>579</v>
      </c>
      <c r="M155" s="16" t="s">
        <v>2576</v>
      </c>
      <c r="N155" s="16" t="s">
        <v>2576</v>
      </c>
      <c r="O155" s="17" t="str">
        <f>IF(NOT("https://maps.app.goo.gl/LhEUMhhPFrEyAu7o7" = ""), HYPERLINK("https://maps.app.goo.gl/LhEUMhhPFrEyAu7o7", "موقع"), "")</f>
        <v>موقع</v>
      </c>
      <c r="P155" s="15">
        <v>23000</v>
      </c>
      <c r="Q155" s="15" t="s">
        <v>580</v>
      </c>
      <c r="R155" s="24" t="s">
        <v>2699</v>
      </c>
    </row>
    <row r="156" spans="1:18" s="18" customFormat="1" ht="100.8" x14ac:dyDescent="0.3">
      <c r="A156" s="15" t="s">
        <v>581</v>
      </c>
      <c r="B156" s="15" t="s">
        <v>20</v>
      </c>
      <c r="C156" s="15" t="s">
        <v>54</v>
      </c>
      <c r="D156" s="15" t="s">
        <v>536</v>
      </c>
      <c r="E156" s="15" t="s">
        <v>537</v>
      </c>
      <c r="F156" s="15" t="s">
        <v>554</v>
      </c>
      <c r="G156" s="15" t="s">
        <v>555</v>
      </c>
      <c r="H156" s="15" t="s">
        <v>556</v>
      </c>
      <c r="I156" s="15">
        <v>871</v>
      </c>
      <c r="J156" s="15">
        <v>121</v>
      </c>
      <c r="K156" s="15" t="s">
        <v>75</v>
      </c>
      <c r="L156" s="15" t="s">
        <v>582</v>
      </c>
      <c r="M156" s="16" t="s">
        <v>2576</v>
      </c>
      <c r="N156" s="16" t="s">
        <v>2576</v>
      </c>
      <c r="O156" s="17" t="str">
        <f>IF(NOT("https://maps.app.goo.gl/5GeiL9KaKbAcKz6CA" = ""), HYPERLINK("https://maps.app.goo.gl/5GeiL9KaKbAcKz6CA", "موقع"), "")</f>
        <v>موقع</v>
      </c>
      <c r="P156" s="15">
        <v>23000</v>
      </c>
      <c r="Q156" s="15" t="s">
        <v>583</v>
      </c>
      <c r="R156" s="24" t="s">
        <v>2700</v>
      </c>
    </row>
    <row r="157" spans="1:18" s="18" customFormat="1" ht="84" x14ac:dyDescent="0.3">
      <c r="A157" s="15" t="s">
        <v>584</v>
      </c>
      <c r="B157" s="15" t="s">
        <v>20</v>
      </c>
      <c r="C157" s="15" t="s">
        <v>54</v>
      </c>
      <c r="D157" s="15" t="s">
        <v>536</v>
      </c>
      <c r="E157" s="15" t="s">
        <v>537</v>
      </c>
      <c r="F157" s="15" t="s">
        <v>554</v>
      </c>
      <c r="G157" s="15" t="s">
        <v>555</v>
      </c>
      <c r="H157" s="15" t="s">
        <v>556</v>
      </c>
      <c r="I157" s="15">
        <v>924</v>
      </c>
      <c r="J157" s="15">
        <v>124</v>
      </c>
      <c r="K157" s="15" t="s">
        <v>75</v>
      </c>
      <c r="L157" s="15" t="s">
        <v>579</v>
      </c>
      <c r="M157" s="16" t="s">
        <v>2576</v>
      </c>
      <c r="N157" s="16" t="s">
        <v>2576</v>
      </c>
      <c r="O157" s="17" t="str">
        <f>IF(NOT("https://maps.app.goo.gl/CaAziHTC1ykb6X9UA" = ""), HYPERLINK("https://maps.app.goo.gl/CaAziHTC1ykb6X9UA", "موقع"), "")</f>
        <v>موقع</v>
      </c>
      <c r="P157" s="15">
        <v>23000</v>
      </c>
      <c r="Q157" s="15" t="s">
        <v>585</v>
      </c>
      <c r="R157" s="24" t="s">
        <v>2701</v>
      </c>
    </row>
    <row r="158" spans="1:18" s="18" customFormat="1" ht="100.8" x14ac:dyDescent="0.3">
      <c r="A158" s="15" t="s">
        <v>586</v>
      </c>
      <c r="B158" s="15" t="s">
        <v>20</v>
      </c>
      <c r="C158" s="15" t="s">
        <v>54</v>
      </c>
      <c r="D158" s="15" t="s">
        <v>536</v>
      </c>
      <c r="E158" s="15" t="s">
        <v>537</v>
      </c>
      <c r="F158" s="15" t="s">
        <v>554</v>
      </c>
      <c r="G158" s="15" t="s">
        <v>555</v>
      </c>
      <c r="H158" s="15" t="s">
        <v>556</v>
      </c>
      <c r="I158" s="15">
        <v>881</v>
      </c>
      <c r="J158" s="15">
        <v>113</v>
      </c>
      <c r="K158" s="15" t="s">
        <v>32</v>
      </c>
      <c r="L158" s="15" t="s">
        <v>572</v>
      </c>
      <c r="M158" s="16" t="s">
        <v>2576</v>
      </c>
      <c r="N158" s="16" t="s">
        <v>2576</v>
      </c>
      <c r="O158" s="16" t="s">
        <v>2576</v>
      </c>
      <c r="P158" s="15">
        <v>24000</v>
      </c>
      <c r="Q158" s="15" t="s">
        <v>587</v>
      </c>
      <c r="R158" s="24" t="s">
        <v>2702</v>
      </c>
    </row>
    <row r="159" spans="1:18" s="18" customFormat="1" ht="100.8" x14ac:dyDescent="0.3">
      <c r="A159" s="15" t="s">
        <v>588</v>
      </c>
      <c r="B159" s="15" t="s">
        <v>20</v>
      </c>
      <c r="C159" s="15" t="s">
        <v>54</v>
      </c>
      <c r="D159" s="15" t="s">
        <v>536</v>
      </c>
      <c r="E159" s="15" t="s">
        <v>537</v>
      </c>
      <c r="F159" s="15" t="s">
        <v>589</v>
      </c>
      <c r="G159" s="15" t="s">
        <v>590</v>
      </c>
      <c r="H159" s="15" t="s">
        <v>591</v>
      </c>
      <c r="I159" s="15">
        <v>4257</v>
      </c>
      <c r="J159" s="15">
        <v>-101</v>
      </c>
      <c r="K159" s="15" t="s">
        <v>27</v>
      </c>
      <c r="L159" s="15" t="s">
        <v>62</v>
      </c>
      <c r="M159" s="16" t="s">
        <v>2576</v>
      </c>
      <c r="N159" s="16" t="s">
        <v>2576</v>
      </c>
      <c r="O159" s="17" t="str">
        <f>IF(NOT("https://maps.app.goo.gl/pBfKHzuy9FCiy7SL6" = ""), HYPERLINK("https://maps.app.goo.gl/pBfKHzuy9FCiy7SL6", "موقع"), "")</f>
        <v>موقع</v>
      </c>
      <c r="P159" s="15">
        <v>26000</v>
      </c>
      <c r="Q159" s="15" t="s">
        <v>592</v>
      </c>
      <c r="R159" s="24" t="s">
        <v>2703</v>
      </c>
    </row>
    <row r="160" spans="1:18" s="18" customFormat="1" ht="100.8" x14ac:dyDescent="0.3">
      <c r="A160" s="15" t="s">
        <v>593</v>
      </c>
      <c r="B160" s="15" t="s">
        <v>20</v>
      </c>
      <c r="C160" s="15" t="s">
        <v>54</v>
      </c>
      <c r="D160" s="15" t="s">
        <v>536</v>
      </c>
      <c r="E160" s="15" t="s">
        <v>537</v>
      </c>
      <c r="F160" s="15" t="s">
        <v>589</v>
      </c>
      <c r="G160" s="15" t="s">
        <v>590</v>
      </c>
      <c r="H160" s="15" t="s">
        <v>591</v>
      </c>
      <c r="I160" s="15">
        <v>10322</v>
      </c>
      <c r="J160" s="15">
        <v>122</v>
      </c>
      <c r="K160" s="15" t="s">
        <v>75</v>
      </c>
      <c r="L160" s="15" t="s">
        <v>115</v>
      </c>
      <c r="M160" s="16" t="s">
        <v>2576</v>
      </c>
      <c r="N160" s="16" t="s">
        <v>2576</v>
      </c>
      <c r="O160" s="17" t="str">
        <f>IF(NOT("https://maps.app.goo.gl/xwKUBLp2ahJEjVGXA" = ""), HYPERLINK("https://maps.app.goo.gl/xwKUBLp2ahJEjVGXA", "موقع"), "")</f>
        <v>موقع</v>
      </c>
      <c r="P160" s="15">
        <v>28000</v>
      </c>
      <c r="Q160" s="15" t="s">
        <v>594</v>
      </c>
      <c r="R160" s="24" t="s">
        <v>2704</v>
      </c>
    </row>
    <row r="161" spans="1:18" s="18" customFormat="1" ht="100.8" x14ac:dyDescent="0.3">
      <c r="A161" s="15" t="s">
        <v>595</v>
      </c>
      <c r="B161" s="15" t="s">
        <v>20</v>
      </c>
      <c r="C161" s="15" t="s">
        <v>54</v>
      </c>
      <c r="D161" s="15" t="s">
        <v>536</v>
      </c>
      <c r="E161" s="15" t="s">
        <v>537</v>
      </c>
      <c r="F161" s="15" t="s">
        <v>543</v>
      </c>
      <c r="G161" s="15" t="s">
        <v>544</v>
      </c>
      <c r="H161" s="15" t="s">
        <v>596</v>
      </c>
      <c r="I161" s="15">
        <v>3081</v>
      </c>
      <c r="J161" s="15">
        <v>131</v>
      </c>
      <c r="K161" s="15" t="s">
        <v>50</v>
      </c>
      <c r="L161" s="15" t="s">
        <v>62</v>
      </c>
      <c r="M161" s="16" t="s">
        <v>2576</v>
      </c>
      <c r="N161" s="16" t="s">
        <v>2576</v>
      </c>
      <c r="O161" s="17" t="str">
        <f>IF(NOT("https://maps.app.goo.gl/FLwiycD3vFThcT359" = ""), HYPERLINK("https://maps.app.goo.gl/FLwiycD3vFThcT359", "موقع"), "")</f>
        <v>موقع</v>
      </c>
      <c r="P161" s="15">
        <v>29000</v>
      </c>
      <c r="Q161" s="15" t="s">
        <v>597</v>
      </c>
      <c r="R161" s="24" t="s">
        <v>2705</v>
      </c>
    </row>
    <row r="162" spans="1:18" s="18" customFormat="1" ht="100.8" x14ac:dyDescent="0.3">
      <c r="A162" s="15" t="s">
        <v>598</v>
      </c>
      <c r="B162" s="15" t="s">
        <v>20</v>
      </c>
      <c r="C162" s="15" t="s">
        <v>54</v>
      </c>
      <c r="D162" s="15" t="s">
        <v>536</v>
      </c>
      <c r="E162" s="15" t="s">
        <v>537</v>
      </c>
      <c r="F162" s="15" t="s">
        <v>589</v>
      </c>
      <c r="G162" s="15" t="s">
        <v>599</v>
      </c>
      <c r="H162" s="15" t="s">
        <v>600</v>
      </c>
      <c r="I162" s="15">
        <v>5767</v>
      </c>
      <c r="J162" s="15">
        <v>133</v>
      </c>
      <c r="K162" s="15" t="s">
        <v>50</v>
      </c>
      <c r="L162" s="15" t="s">
        <v>601</v>
      </c>
      <c r="M162" s="16" t="s">
        <v>2576</v>
      </c>
      <c r="N162" s="16" t="s">
        <v>2576</v>
      </c>
      <c r="O162" s="16" t="s">
        <v>2576</v>
      </c>
      <c r="P162" s="15">
        <v>30000</v>
      </c>
      <c r="Q162" s="15" t="s">
        <v>602</v>
      </c>
      <c r="R162" s="24" t="s">
        <v>2706</v>
      </c>
    </row>
    <row r="163" spans="1:18" s="18" customFormat="1" ht="100.8" x14ac:dyDescent="0.3">
      <c r="A163" s="15" t="s">
        <v>603</v>
      </c>
      <c r="B163" s="15" t="s">
        <v>20</v>
      </c>
      <c r="C163" s="15" t="s">
        <v>54</v>
      </c>
      <c r="D163" s="15" t="s">
        <v>536</v>
      </c>
      <c r="E163" s="15" t="s">
        <v>537</v>
      </c>
      <c r="F163" s="15" t="s">
        <v>604</v>
      </c>
      <c r="G163" s="15" t="s">
        <v>605</v>
      </c>
      <c r="H163" s="15" t="s">
        <v>606</v>
      </c>
      <c r="I163" s="15">
        <v>279</v>
      </c>
      <c r="J163" s="15">
        <v>111</v>
      </c>
      <c r="K163" s="15" t="s">
        <v>32</v>
      </c>
      <c r="L163" s="15" t="s">
        <v>607</v>
      </c>
      <c r="M163" s="16" t="s">
        <v>2576</v>
      </c>
      <c r="N163" s="16" t="s">
        <v>2576</v>
      </c>
      <c r="O163" s="17" t="str">
        <f>IF(NOT("https://maps.app.goo.gl/sKYmv21vEuW86YAH9" = ""), HYPERLINK("https://maps.app.goo.gl/sKYmv21vEuW86YAH9", "موقع"), "")</f>
        <v>موقع</v>
      </c>
      <c r="P163" s="15">
        <v>31000</v>
      </c>
      <c r="Q163" s="15" t="s">
        <v>608</v>
      </c>
      <c r="R163" s="24" t="s">
        <v>2707</v>
      </c>
    </row>
    <row r="164" spans="1:18" s="18" customFormat="1" ht="100.8" x14ac:dyDescent="0.3">
      <c r="A164" s="15" t="s">
        <v>609</v>
      </c>
      <c r="B164" s="15" t="s">
        <v>20</v>
      </c>
      <c r="C164" s="15" t="s">
        <v>54</v>
      </c>
      <c r="D164" s="15" t="s">
        <v>536</v>
      </c>
      <c r="E164" s="15" t="s">
        <v>537</v>
      </c>
      <c r="F164" s="15" t="s">
        <v>543</v>
      </c>
      <c r="G164" s="15" t="s">
        <v>544</v>
      </c>
      <c r="H164" s="15" t="s">
        <v>596</v>
      </c>
      <c r="I164" s="15">
        <v>3081</v>
      </c>
      <c r="J164" s="15">
        <v>132</v>
      </c>
      <c r="K164" s="15" t="s">
        <v>50</v>
      </c>
      <c r="L164" s="15" t="s">
        <v>62</v>
      </c>
      <c r="M164" s="16" t="s">
        <v>2576</v>
      </c>
      <c r="N164" s="17" t="str">
        <f>IF(NOT("https://truemarkets3d.net/3d-virtual-tour/housingbank-realestate/phase3/aq-re-100026/index.html" = ""), HYPERLINK("https://truemarkets3d.net/3d-virtual-tour/housingbank-realestate/phase3/aq-re-100026/index.html", "جولة"), "")</f>
        <v>جولة</v>
      </c>
      <c r="O164" s="17" t="str">
        <f>IF(NOT("https://maps.app.goo.gl/FLwiycD3vFThcT359" = ""), HYPERLINK("https://maps.app.goo.gl/FLwiycD3vFThcT359", "موقع"), "")</f>
        <v>موقع</v>
      </c>
      <c r="P164" s="15">
        <v>31000</v>
      </c>
      <c r="Q164" s="15" t="s">
        <v>610</v>
      </c>
      <c r="R164" s="24" t="s">
        <v>2708</v>
      </c>
    </row>
    <row r="165" spans="1:18" s="18" customFormat="1" ht="100.8" x14ac:dyDescent="0.3">
      <c r="A165" s="15" t="s">
        <v>611</v>
      </c>
      <c r="B165" s="15" t="s">
        <v>20</v>
      </c>
      <c r="C165" s="15" t="s">
        <v>54</v>
      </c>
      <c r="D165" s="15" t="s">
        <v>536</v>
      </c>
      <c r="E165" s="15" t="s">
        <v>537</v>
      </c>
      <c r="F165" s="15" t="s">
        <v>589</v>
      </c>
      <c r="G165" s="15" t="s">
        <v>599</v>
      </c>
      <c r="H165" s="15" t="s">
        <v>591</v>
      </c>
      <c r="I165" s="15">
        <v>4361</v>
      </c>
      <c r="J165" s="15">
        <v>113</v>
      </c>
      <c r="K165" s="15" t="s">
        <v>32</v>
      </c>
      <c r="L165" s="15" t="s">
        <v>174</v>
      </c>
      <c r="M165" s="16" t="s">
        <v>2576</v>
      </c>
      <c r="N165" s="16" t="s">
        <v>2576</v>
      </c>
      <c r="O165" s="16" t="s">
        <v>2576</v>
      </c>
      <c r="P165" s="15">
        <v>34000</v>
      </c>
      <c r="Q165" s="15" t="s">
        <v>612</v>
      </c>
      <c r="R165" s="24" t="s">
        <v>2709</v>
      </c>
    </row>
    <row r="166" spans="1:18" s="18" customFormat="1" ht="50.4" x14ac:dyDescent="0.3">
      <c r="A166" s="15" t="s">
        <v>613</v>
      </c>
      <c r="B166" s="15" t="s">
        <v>20</v>
      </c>
      <c r="C166" s="15" t="s">
        <v>54</v>
      </c>
      <c r="D166" s="15" t="s">
        <v>536</v>
      </c>
      <c r="E166" s="15" t="s">
        <v>537</v>
      </c>
      <c r="F166" s="15" t="s">
        <v>589</v>
      </c>
      <c r="G166" s="15" t="s">
        <v>590</v>
      </c>
      <c r="H166" s="15" t="s">
        <v>591</v>
      </c>
      <c r="I166" s="15">
        <v>2078</v>
      </c>
      <c r="J166" s="15">
        <v>231</v>
      </c>
      <c r="K166" s="15" t="s">
        <v>32</v>
      </c>
      <c r="L166" s="15" t="s">
        <v>134</v>
      </c>
      <c r="M166" s="16" t="s">
        <v>2576</v>
      </c>
      <c r="N166" s="16" t="s">
        <v>2576</v>
      </c>
      <c r="O166" s="16" t="s">
        <v>2576</v>
      </c>
      <c r="P166" s="15">
        <v>36000</v>
      </c>
      <c r="Q166" s="15" t="s">
        <v>614</v>
      </c>
      <c r="R166" s="24" t="s">
        <v>2710</v>
      </c>
    </row>
    <row r="167" spans="1:18" s="18" customFormat="1" ht="100.8" x14ac:dyDescent="0.3">
      <c r="A167" s="15" t="s">
        <v>615</v>
      </c>
      <c r="B167" s="15" t="s">
        <v>20</v>
      </c>
      <c r="C167" s="15" t="s">
        <v>54</v>
      </c>
      <c r="D167" s="15" t="s">
        <v>536</v>
      </c>
      <c r="E167" s="15" t="s">
        <v>537</v>
      </c>
      <c r="F167" s="15" t="s">
        <v>560</v>
      </c>
      <c r="G167" s="15" t="s">
        <v>561</v>
      </c>
      <c r="H167" s="15" t="s">
        <v>562</v>
      </c>
      <c r="I167" s="15">
        <v>2839</v>
      </c>
      <c r="J167" s="15">
        <v>111</v>
      </c>
      <c r="K167" s="15" t="s">
        <v>32</v>
      </c>
      <c r="L167" s="15" t="s">
        <v>616</v>
      </c>
      <c r="M167" s="16" t="s">
        <v>2576</v>
      </c>
      <c r="N167" s="16" t="s">
        <v>2576</v>
      </c>
      <c r="O167" s="17" t="str">
        <f>IF(NOT("https://maps.app.goo.gl/EtWrAhRRgQJmyjMW9" = ""), HYPERLINK("https://maps.app.goo.gl/EtWrAhRRgQJmyjMW9", "موقع"), "")</f>
        <v>موقع</v>
      </c>
      <c r="P167" s="15">
        <v>37000</v>
      </c>
      <c r="Q167" s="15" t="s">
        <v>617</v>
      </c>
      <c r="R167" s="24" t="s">
        <v>2711</v>
      </c>
    </row>
    <row r="168" spans="1:18" s="18" customFormat="1" ht="100.8" x14ac:dyDescent="0.3">
      <c r="A168" s="15" t="s">
        <v>618</v>
      </c>
      <c r="B168" s="15" t="s">
        <v>20</v>
      </c>
      <c r="C168" s="15" t="s">
        <v>54</v>
      </c>
      <c r="D168" s="15" t="s">
        <v>536</v>
      </c>
      <c r="E168" s="15" t="s">
        <v>537</v>
      </c>
      <c r="F168" s="15" t="s">
        <v>589</v>
      </c>
      <c r="G168" s="15" t="s">
        <v>590</v>
      </c>
      <c r="H168" s="15" t="s">
        <v>591</v>
      </c>
      <c r="I168" s="15">
        <v>2086</v>
      </c>
      <c r="J168" s="15">
        <v>113</v>
      </c>
      <c r="K168" s="15" t="s">
        <v>32</v>
      </c>
      <c r="L168" s="15" t="s">
        <v>619</v>
      </c>
      <c r="M168" s="16" t="s">
        <v>2576</v>
      </c>
      <c r="N168" s="16" t="s">
        <v>2576</v>
      </c>
      <c r="O168" s="16" t="s">
        <v>2576</v>
      </c>
      <c r="P168" s="15">
        <v>37000</v>
      </c>
      <c r="Q168" s="15" t="s">
        <v>620</v>
      </c>
      <c r="R168" s="24" t="s">
        <v>2712</v>
      </c>
    </row>
    <row r="169" spans="1:18" s="18" customFormat="1" ht="50.4" x14ac:dyDescent="0.3">
      <c r="A169" s="15" t="s">
        <v>621</v>
      </c>
      <c r="B169" s="15" t="s">
        <v>20</v>
      </c>
      <c r="C169" s="15" t="s">
        <v>54</v>
      </c>
      <c r="D169" s="15" t="s">
        <v>536</v>
      </c>
      <c r="E169" s="15" t="s">
        <v>537</v>
      </c>
      <c r="F169" s="15" t="s">
        <v>538</v>
      </c>
      <c r="G169" s="15" t="s">
        <v>539</v>
      </c>
      <c r="H169" s="15" t="s">
        <v>540</v>
      </c>
      <c r="I169" s="15">
        <v>139</v>
      </c>
      <c r="J169" s="15">
        <v>111</v>
      </c>
      <c r="K169" s="15" t="s">
        <v>32</v>
      </c>
      <c r="L169" s="15" t="s">
        <v>126</v>
      </c>
      <c r="M169" s="16" t="s">
        <v>2576</v>
      </c>
      <c r="N169" s="16" t="s">
        <v>2576</v>
      </c>
      <c r="O169" s="17" t="str">
        <f>IF(NOT("https://maps.app.goo.gl/Lr51HveMk3JcArJx8" = ""), HYPERLINK("https://maps.app.goo.gl/Lr51HveMk3JcArJx8", "موقع"), "")</f>
        <v>موقع</v>
      </c>
      <c r="P169" s="15">
        <v>37000</v>
      </c>
      <c r="Q169" s="15" t="s">
        <v>541</v>
      </c>
      <c r="R169" s="24" t="s">
        <v>2713</v>
      </c>
    </row>
    <row r="170" spans="1:18" s="18" customFormat="1" ht="100.8" x14ac:dyDescent="0.3">
      <c r="A170" s="15" t="s">
        <v>622</v>
      </c>
      <c r="B170" s="15" t="s">
        <v>20</v>
      </c>
      <c r="C170" s="15" t="s">
        <v>54</v>
      </c>
      <c r="D170" s="15" t="s">
        <v>536</v>
      </c>
      <c r="E170" s="15" t="s">
        <v>537</v>
      </c>
      <c r="F170" s="15" t="s">
        <v>589</v>
      </c>
      <c r="G170" s="15" t="s">
        <v>590</v>
      </c>
      <c r="H170" s="15" t="s">
        <v>591</v>
      </c>
      <c r="I170" s="15">
        <v>9160</v>
      </c>
      <c r="J170" s="15">
        <v>112</v>
      </c>
      <c r="K170" s="15" t="s">
        <v>32</v>
      </c>
      <c r="L170" s="15" t="s">
        <v>174</v>
      </c>
      <c r="M170" s="16" t="s">
        <v>2576</v>
      </c>
      <c r="N170" s="16" t="s">
        <v>2576</v>
      </c>
      <c r="O170" s="16" t="s">
        <v>2576</v>
      </c>
      <c r="P170" s="15">
        <v>43000</v>
      </c>
      <c r="Q170" s="15" t="s">
        <v>612</v>
      </c>
      <c r="R170" s="24" t="s">
        <v>2714</v>
      </c>
    </row>
    <row r="171" spans="1:18" s="18" customFormat="1" ht="100.8" x14ac:dyDescent="0.3">
      <c r="A171" s="15" t="s">
        <v>623</v>
      </c>
      <c r="B171" s="15" t="s">
        <v>20</v>
      </c>
      <c r="C171" s="15" t="s">
        <v>54</v>
      </c>
      <c r="D171" s="15" t="s">
        <v>536</v>
      </c>
      <c r="E171" s="15" t="s">
        <v>537</v>
      </c>
      <c r="F171" s="15" t="s">
        <v>589</v>
      </c>
      <c r="G171" s="15" t="s">
        <v>590</v>
      </c>
      <c r="H171" s="15" t="s">
        <v>591</v>
      </c>
      <c r="I171" s="15">
        <v>11611</v>
      </c>
      <c r="J171" s="15">
        <v>201</v>
      </c>
      <c r="K171" s="15" t="s">
        <v>32</v>
      </c>
      <c r="L171" s="15" t="s">
        <v>145</v>
      </c>
      <c r="M171" s="16" t="s">
        <v>2576</v>
      </c>
      <c r="N171" s="16" t="s">
        <v>2576</v>
      </c>
      <c r="O171" s="17" t="str">
        <f>IF(NOT("https://maps.app.goo.gl/ADdAk1Pb68KLjcqBA" = ""), HYPERLINK("https://maps.app.goo.gl/ADdAk1Pb68KLjcqBA", "موقع"), "")</f>
        <v>موقع</v>
      </c>
      <c r="P171" s="15">
        <v>43000</v>
      </c>
      <c r="Q171" s="15" t="s">
        <v>624</v>
      </c>
      <c r="R171" s="24" t="s">
        <v>2715</v>
      </c>
    </row>
    <row r="172" spans="1:18" s="18" customFormat="1" ht="100.8" x14ac:dyDescent="0.3">
      <c r="A172" s="15" t="s">
        <v>625</v>
      </c>
      <c r="B172" s="15" t="s">
        <v>20</v>
      </c>
      <c r="C172" s="15" t="s">
        <v>54</v>
      </c>
      <c r="D172" s="15" t="s">
        <v>536</v>
      </c>
      <c r="E172" s="15" t="s">
        <v>537</v>
      </c>
      <c r="F172" s="15" t="s">
        <v>589</v>
      </c>
      <c r="G172" s="15" t="s">
        <v>590</v>
      </c>
      <c r="H172" s="15" t="s">
        <v>591</v>
      </c>
      <c r="I172" s="15">
        <v>5905</v>
      </c>
      <c r="J172" s="15">
        <v>101</v>
      </c>
      <c r="K172" s="15" t="s">
        <v>32</v>
      </c>
      <c r="L172" s="15" t="s">
        <v>616</v>
      </c>
      <c r="M172" s="16" t="s">
        <v>2576</v>
      </c>
      <c r="N172" s="16" t="s">
        <v>2576</v>
      </c>
      <c r="O172" s="17" t="str">
        <f>IF(NOT("https://maps.app.goo.gl/K6r9TZZ5Cgvjmcq17" = ""), HYPERLINK("https://maps.app.goo.gl/K6r9TZZ5Cgvjmcq17", "موقع"), "")</f>
        <v>موقع</v>
      </c>
      <c r="P172" s="15">
        <v>47000</v>
      </c>
      <c r="Q172" s="15" t="s">
        <v>626</v>
      </c>
      <c r="R172" s="24" t="s">
        <v>2716</v>
      </c>
    </row>
    <row r="173" spans="1:18" s="18" customFormat="1" ht="50.4" x14ac:dyDescent="0.3">
      <c r="A173" s="15" t="s">
        <v>627</v>
      </c>
      <c r="B173" s="15" t="s">
        <v>20</v>
      </c>
      <c r="C173" s="15" t="s">
        <v>54</v>
      </c>
      <c r="D173" s="15" t="s">
        <v>536</v>
      </c>
      <c r="E173" s="15" t="s">
        <v>537</v>
      </c>
      <c r="F173" s="15" t="s">
        <v>589</v>
      </c>
      <c r="G173" s="15" t="s">
        <v>590</v>
      </c>
      <c r="H173" s="15" t="s">
        <v>591</v>
      </c>
      <c r="I173" s="15">
        <v>5270</v>
      </c>
      <c r="J173" s="15">
        <v>132</v>
      </c>
      <c r="K173" s="15" t="s">
        <v>50</v>
      </c>
      <c r="L173" s="15" t="s">
        <v>155</v>
      </c>
      <c r="M173" s="16" t="s">
        <v>2576</v>
      </c>
      <c r="N173" s="16" t="s">
        <v>2576</v>
      </c>
      <c r="O173" s="16" t="s">
        <v>2576</v>
      </c>
      <c r="P173" s="15">
        <v>47000</v>
      </c>
      <c r="Q173" s="15" t="s">
        <v>628</v>
      </c>
      <c r="R173" s="24" t="s">
        <v>2717</v>
      </c>
    </row>
    <row r="174" spans="1:18" s="18" customFormat="1" ht="100.8" x14ac:dyDescent="0.3">
      <c r="A174" s="15" t="s">
        <v>629</v>
      </c>
      <c r="B174" s="15" t="s">
        <v>20</v>
      </c>
      <c r="C174" s="15" t="s">
        <v>54</v>
      </c>
      <c r="D174" s="15" t="s">
        <v>536</v>
      </c>
      <c r="E174" s="15" t="s">
        <v>537</v>
      </c>
      <c r="F174" s="15" t="s">
        <v>589</v>
      </c>
      <c r="G174" s="15" t="s">
        <v>590</v>
      </c>
      <c r="H174" s="15" t="s">
        <v>591</v>
      </c>
      <c r="I174" s="15">
        <v>11358</v>
      </c>
      <c r="J174" s="15">
        <v>132</v>
      </c>
      <c r="K174" s="15" t="s">
        <v>32</v>
      </c>
      <c r="L174" s="15" t="s">
        <v>181</v>
      </c>
      <c r="M174" s="16" t="s">
        <v>2576</v>
      </c>
      <c r="N174" s="16" t="s">
        <v>2576</v>
      </c>
      <c r="O174" s="17" t="str">
        <f>IF(NOT("https://maps.app.goo.gl/fcKBGywg6fqF7Y9v5" = ""), HYPERLINK("https://maps.app.goo.gl/fcKBGywg6fqF7Y9v5", "موقع"), "")</f>
        <v>موقع</v>
      </c>
      <c r="P174" s="15">
        <v>58000</v>
      </c>
      <c r="Q174" s="15" t="s">
        <v>630</v>
      </c>
      <c r="R174" s="24" t="s">
        <v>2718</v>
      </c>
    </row>
    <row r="175" spans="1:18" s="18" customFormat="1" ht="100.8" x14ac:dyDescent="0.3">
      <c r="A175" s="15" t="s">
        <v>631</v>
      </c>
      <c r="B175" s="15" t="s">
        <v>20</v>
      </c>
      <c r="C175" s="15" t="s">
        <v>54</v>
      </c>
      <c r="D175" s="15" t="s">
        <v>536</v>
      </c>
      <c r="E175" s="15" t="s">
        <v>537</v>
      </c>
      <c r="F175" s="15" t="s">
        <v>589</v>
      </c>
      <c r="G175" s="15" t="s">
        <v>590</v>
      </c>
      <c r="H175" s="15" t="s">
        <v>591</v>
      </c>
      <c r="I175" s="15">
        <v>11358</v>
      </c>
      <c r="J175" s="15">
        <v>131</v>
      </c>
      <c r="K175" s="15" t="s">
        <v>50</v>
      </c>
      <c r="L175" s="15" t="s">
        <v>632</v>
      </c>
      <c r="M175" s="16" t="s">
        <v>2576</v>
      </c>
      <c r="N175" s="16" t="s">
        <v>2576</v>
      </c>
      <c r="O175" s="17" t="str">
        <f>IF(NOT("https://maps.app.goo.gl/irVVzZfw1xaBdn2d7" = ""), HYPERLINK("https://maps.app.goo.gl/irVVzZfw1xaBdn2d7", "موقع"), "")</f>
        <v>موقع</v>
      </c>
      <c r="P175" s="15">
        <v>60000</v>
      </c>
      <c r="Q175" s="15" t="s">
        <v>633</v>
      </c>
      <c r="R175" s="24" t="s">
        <v>2719</v>
      </c>
    </row>
    <row r="176" spans="1:18" s="18" customFormat="1" ht="100.8" x14ac:dyDescent="0.3">
      <c r="A176" s="15" t="s">
        <v>634</v>
      </c>
      <c r="B176" s="15" t="s">
        <v>20</v>
      </c>
      <c r="C176" s="15" t="s">
        <v>54</v>
      </c>
      <c r="D176" s="15" t="s">
        <v>536</v>
      </c>
      <c r="E176" s="15" t="s">
        <v>537</v>
      </c>
      <c r="F176" s="15" t="s">
        <v>589</v>
      </c>
      <c r="G176" s="15" t="s">
        <v>590</v>
      </c>
      <c r="H176" s="15" t="s">
        <v>591</v>
      </c>
      <c r="I176" s="15">
        <v>10390</v>
      </c>
      <c r="J176" s="15">
        <v>102</v>
      </c>
      <c r="K176" s="15" t="s">
        <v>41</v>
      </c>
      <c r="L176" s="15" t="s">
        <v>635</v>
      </c>
      <c r="M176" s="16" t="s">
        <v>2576</v>
      </c>
      <c r="N176" s="16" t="s">
        <v>2576</v>
      </c>
      <c r="O176" s="17" t="str">
        <f>IF(NOT("https://maps.app.goo.gl/r1jKBj8YNCiGjmpx9" = ""), HYPERLINK("https://maps.app.goo.gl/r1jKBj8YNCiGjmpx9", "موقع"), "")</f>
        <v>موقع</v>
      </c>
      <c r="P176" s="15">
        <v>82000</v>
      </c>
      <c r="Q176" s="15" t="s">
        <v>636</v>
      </c>
      <c r="R176" s="24" t="s">
        <v>2720</v>
      </c>
    </row>
    <row r="177" spans="1:18" s="18" customFormat="1" ht="117.6" x14ac:dyDescent="0.3">
      <c r="A177" s="15" t="s">
        <v>795</v>
      </c>
      <c r="B177" s="15" t="s">
        <v>390</v>
      </c>
      <c r="C177" s="15" t="s">
        <v>391</v>
      </c>
      <c r="D177" s="15" t="s">
        <v>762</v>
      </c>
      <c r="E177" s="15" t="s">
        <v>763</v>
      </c>
      <c r="F177" s="15" t="s">
        <v>764</v>
      </c>
      <c r="G177" s="15" t="s">
        <v>796</v>
      </c>
      <c r="H177" s="15" t="s">
        <v>318</v>
      </c>
      <c r="I177" s="15">
        <v>31</v>
      </c>
      <c r="J177" s="15">
        <v>0</v>
      </c>
      <c r="K177" s="15"/>
      <c r="L177" s="15" t="s">
        <v>797</v>
      </c>
      <c r="M177" s="16" t="s">
        <v>2576</v>
      </c>
      <c r="N177" s="16" t="s">
        <v>2576</v>
      </c>
      <c r="O177" s="17" t="str">
        <f>IF(NOT("https://maps.app.goo.gl/522ACyue7Dw1ySsMA" = ""), HYPERLINK("https://maps.app.goo.gl/522ACyue7Dw1ySsMA", "موقع"), "")</f>
        <v>موقع</v>
      </c>
      <c r="P177" s="15">
        <v>5000</v>
      </c>
      <c r="Q177" s="15" t="s">
        <v>798</v>
      </c>
      <c r="R177" s="24" t="s">
        <v>2759</v>
      </c>
    </row>
    <row r="178" spans="1:18" s="18" customFormat="1" ht="235.2" x14ac:dyDescent="0.3">
      <c r="A178" s="15" t="s">
        <v>799</v>
      </c>
      <c r="B178" s="15" t="s">
        <v>390</v>
      </c>
      <c r="C178" s="15" t="s">
        <v>391</v>
      </c>
      <c r="D178" s="15" t="s">
        <v>762</v>
      </c>
      <c r="E178" s="15" t="s">
        <v>763</v>
      </c>
      <c r="F178" s="15" t="s">
        <v>764</v>
      </c>
      <c r="G178" s="15" t="s">
        <v>800</v>
      </c>
      <c r="H178" s="15" t="s">
        <v>318</v>
      </c>
      <c r="I178" s="15">
        <v>648</v>
      </c>
      <c r="J178" s="15">
        <v>0</v>
      </c>
      <c r="K178" s="15"/>
      <c r="L178" s="15" t="s">
        <v>801</v>
      </c>
      <c r="M178" s="16" t="s">
        <v>2576</v>
      </c>
      <c r="N178" s="16" t="s">
        <v>2576</v>
      </c>
      <c r="O178" s="16" t="s">
        <v>2576</v>
      </c>
      <c r="P178" s="15">
        <v>6000</v>
      </c>
      <c r="Q178" s="15" t="s">
        <v>802</v>
      </c>
      <c r="R178" s="24" t="s">
        <v>2760</v>
      </c>
    </row>
    <row r="179" spans="1:18" s="18" customFormat="1" ht="117.6" x14ac:dyDescent="0.3">
      <c r="A179" s="15" t="s">
        <v>803</v>
      </c>
      <c r="B179" s="15" t="s">
        <v>390</v>
      </c>
      <c r="C179" s="15" t="s">
        <v>391</v>
      </c>
      <c r="D179" s="15" t="s">
        <v>762</v>
      </c>
      <c r="E179" s="15" t="s">
        <v>763</v>
      </c>
      <c r="F179" s="15" t="s">
        <v>764</v>
      </c>
      <c r="G179" s="15" t="s">
        <v>778</v>
      </c>
      <c r="H179" s="15" t="s">
        <v>779</v>
      </c>
      <c r="I179" s="15">
        <v>926</v>
      </c>
      <c r="J179" s="15">
        <v>0</v>
      </c>
      <c r="K179" s="15"/>
      <c r="L179" s="15" t="s">
        <v>804</v>
      </c>
      <c r="M179" s="16" t="s">
        <v>2576</v>
      </c>
      <c r="N179" s="16" t="s">
        <v>2576</v>
      </c>
      <c r="O179" s="17" t="str">
        <f>IF(NOT("https://maps.app.goo.gl/DTJbF2G5AkCBaap36" = ""), HYPERLINK("https://maps.app.goo.gl/DTJbF2G5AkCBaap36", "موقع"), "")</f>
        <v>موقع</v>
      </c>
      <c r="P179" s="15">
        <v>8000</v>
      </c>
      <c r="Q179" s="15" t="s">
        <v>805</v>
      </c>
      <c r="R179" s="24" t="s">
        <v>2761</v>
      </c>
    </row>
    <row r="180" spans="1:18" s="18" customFormat="1" ht="117.6" x14ac:dyDescent="0.3">
      <c r="A180" s="15" t="s">
        <v>806</v>
      </c>
      <c r="B180" s="15" t="s">
        <v>390</v>
      </c>
      <c r="C180" s="15" t="s">
        <v>391</v>
      </c>
      <c r="D180" s="15" t="s">
        <v>762</v>
      </c>
      <c r="E180" s="15" t="s">
        <v>763</v>
      </c>
      <c r="F180" s="15" t="s">
        <v>764</v>
      </c>
      <c r="G180" s="15" t="s">
        <v>786</v>
      </c>
      <c r="H180" s="15" t="s">
        <v>807</v>
      </c>
      <c r="I180" s="15">
        <v>383</v>
      </c>
      <c r="J180" s="15">
        <v>0</v>
      </c>
      <c r="K180" s="15"/>
      <c r="L180" s="15" t="s">
        <v>808</v>
      </c>
      <c r="M180" s="16" t="s">
        <v>2576</v>
      </c>
      <c r="N180" s="16" t="s">
        <v>2576</v>
      </c>
      <c r="O180" s="17" t="str">
        <f>IF(NOT("https://maps.app.goo.gl/KRB3rzP3aWv4DZrw9" = ""), HYPERLINK("https://maps.app.goo.gl/KRB3rzP3aWv4DZrw9", "موقع"), "")</f>
        <v>موقع</v>
      </c>
      <c r="P180" s="15">
        <v>11000</v>
      </c>
      <c r="Q180" s="15" t="s">
        <v>809</v>
      </c>
      <c r="R180" s="24" t="s">
        <v>2762</v>
      </c>
    </row>
    <row r="181" spans="1:18" s="18" customFormat="1" ht="117.6" x14ac:dyDescent="0.3">
      <c r="A181" s="15" t="s">
        <v>810</v>
      </c>
      <c r="B181" s="15" t="s">
        <v>390</v>
      </c>
      <c r="C181" s="15" t="s">
        <v>391</v>
      </c>
      <c r="D181" s="15" t="s">
        <v>762</v>
      </c>
      <c r="E181" s="15" t="s">
        <v>763</v>
      </c>
      <c r="F181" s="15" t="s">
        <v>764</v>
      </c>
      <c r="G181" s="15" t="s">
        <v>811</v>
      </c>
      <c r="H181" s="15" t="s">
        <v>318</v>
      </c>
      <c r="I181" s="15">
        <v>8</v>
      </c>
      <c r="J181" s="15">
        <v>0</v>
      </c>
      <c r="K181" s="15"/>
      <c r="L181" s="15" t="s">
        <v>812</v>
      </c>
      <c r="M181" s="16" t="s">
        <v>2576</v>
      </c>
      <c r="N181" s="16" t="s">
        <v>2576</v>
      </c>
      <c r="O181" s="17" t="str">
        <f>IF(NOT("https://maps.app.goo.gl/MB26VjWss3DaSAVd7" = ""), HYPERLINK("https://maps.app.goo.gl/MB26VjWss3DaSAVd7", "موقع"), "")</f>
        <v>موقع</v>
      </c>
      <c r="P181" s="15">
        <v>12000</v>
      </c>
      <c r="Q181" s="15" t="s">
        <v>813</v>
      </c>
      <c r="R181" s="24" t="s">
        <v>2763</v>
      </c>
    </row>
    <row r="182" spans="1:18" s="18" customFormat="1" ht="184.8" x14ac:dyDescent="0.3">
      <c r="A182" s="15" t="s">
        <v>814</v>
      </c>
      <c r="B182" s="15" t="s">
        <v>390</v>
      </c>
      <c r="C182" s="15" t="s">
        <v>391</v>
      </c>
      <c r="D182" s="15" t="s">
        <v>762</v>
      </c>
      <c r="E182" s="15" t="s">
        <v>763</v>
      </c>
      <c r="F182" s="15" t="s">
        <v>764</v>
      </c>
      <c r="G182" s="15" t="s">
        <v>815</v>
      </c>
      <c r="H182" s="15" t="s">
        <v>816</v>
      </c>
      <c r="I182" s="15">
        <v>11</v>
      </c>
      <c r="J182" s="15">
        <v>0</v>
      </c>
      <c r="K182" s="15"/>
      <c r="L182" s="15" t="s">
        <v>817</v>
      </c>
      <c r="M182" s="16" t="s">
        <v>2576</v>
      </c>
      <c r="N182" s="16" t="s">
        <v>2576</v>
      </c>
      <c r="O182" s="17" t="str">
        <f>IF(NOT("https://maps.app.goo.gl/kKmnpxAguuxxMbsAA" = ""), HYPERLINK("https://maps.app.goo.gl/kKmnpxAguuxxMbsAA", "موقع"), "")</f>
        <v>موقع</v>
      </c>
      <c r="P182" s="15">
        <v>15000</v>
      </c>
      <c r="Q182" s="15" t="s">
        <v>818</v>
      </c>
      <c r="R182" s="24" t="s">
        <v>2764</v>
      </c>
    </row>
    <row r="183" spans="1:18" s="18" customFormat="1" ht="67.2" x14ac:dyDescent="0.3">
      <c r="A183" s="15" t="s">
        <v>819</v>
      </c>
      <c r="B183" s="15" t="s">
        <v>390</v>
      </c>
      <c r="C183" s="15" t="s">
        <v>391</v>
      </c>
      <c r="D183" s="15" t="s">
        <v>762</v>
      </c>
      <c r="E183" s="15" t="s">
        <v>763</v>
      </c>
      <c r="F183" s="15" t="s">
        <v>764</v>
      </c>
      <c r="G183" s="15" t="s">
        <v>820</v>
      </c>
      <c r="H183" s="15" t="s">
        <v>318</v>
      </c>
      <c r="I183" s="15">
        <v>19</v>
      </c>
      <c r="J183" s="15">
        <v>0</v>
      </c>
      <c r="K183" s="15"/>
      <c r="L183" s="15" t="s">
        <v>821</v>
      </c>
      <c r="M183" s="16" t="s">
        <v>2576</v>
      </c>
      <c r="N183" s="16" t="s">
        <v>2576</v>
      </c>
      <c r="O183" s="17" t="str">
        <f>IF(NOT("https://maps.app.goo.gl/bbntg53bmAVeQbJK7" = ""), HYPERLINK("https://maps.app.goo.gl/bbntg53bmAVeQbJK7", "موقع"), "")</f>
        <v>موقع</v>
      </c>
      <c r="P183" s="15">
        <v>17000</v>
      </c>
      <c r="Q183" s="15" t="s">
        <v>822</v>
      </c>
      <c r="R183" s="24" t="s">
        <v>2765</v>
      </c>
    </row>
    <row r="184" spans="1:18" s="18" customFormat="1" ht="117.6" x14ac:dyDescent="0.3">
      <c r="A184" s="15" t="s">
        <v>823</v>
      </c>
      <c r="B184" s="15" t="s">
        <v>390</v>
      </c>
      <c r="C184" s="15" t="s">
        <v>391</v>
      </c>
      <c r="D184" s="15" t="s">
        <v>762</v>
      </c>
      <c r="E184" s="15" t="s">
        <v>763</v>
      </c>
      <c r="F184" s="15" t="s">
        <v>764</v>
      </c>
      <c r="G184" s="15" t="s">
        <v>783</v>
      </c>
      <c r="H184" s="15" t="s">
        <v>318</v>
      </c>
      <c r="I184" s="15">
        <v>165</v>
      </c>
      <c r="J184" s="15">
        <v>0</v>
      </c>
      <c r="K184" s="15"/>
      <c r="L184" s="15" t="s">
        <v>824</v>
      </c>
      <c r="M184" s="16" t="s">
        <v>2576</v>
      </c>
      <c r="N184" s="16" t="s">
        <v>2576</v>
      </c>
      <c r="O184" s="17" t="str">
        <f>IF(NOT("https://maps.app.goo.gl/6YUJcyfF31sEYAWM8" = ""), HYPERLINK("https://maps.app.goo.gl/6YUJcyfF31sEYAWM8", "موقع"), "")</f>
        <v>موقع</v>
      </c>
      <c r="P184" s="15">
        <v>35000</v>
      </c>
      <c r="Q184" s="15" t="s">
        <v>825</v>
      </c>
      <c r="R184" s="24" t="s">
        <v>2766</v>
      </c>
    </row>
    <row r="185" spans="1:18" s="18" customFormat="1" ht="218.4" x14ac:dyDescent="0.3">
      <c r="A185" s="15" t="s">
        <v>785</v>
      </c>
      <c r="B185" s="15" t="s">
        <v>262</v>
      </c>
      <c r="C185" s="15" t="s">
        <v>281</v>
      </c>
      <c r="D185" s="15" t="s">
        <v>762</v>
      </c>
      <c r="E185" s="15" t="s">
        <v>763</v>
      </c>
      <c r="F185" s="15" t="s">
        <v>764</v>
      </c>
      <c r="G185" s="15" t="s">
        <v>786</v>
      </c>
      <c r="H185" s="15" t="s">
        <v>318</v>
      </c>
      <c r="I185" s="15">
        <v>384</v>
      </c>
      <c r="J185" s="15">
        <v>0</v>
      </c>
      <c r="K185" s="15"/>
      <c r="L185" s="15" t="s">
        <v>787</v>
      </c>
      <c r="M185" s="16" t="s">
        <v>2576</v>
      </c>
      <c r="N185" s="16" t="s">
        <v>2576</v>
      </c>
      <c r="O185" s="17" t="str">
        <f>IF(NOT("https://maps.app.goo.gl/8AmqVAUV54EUe8eW6" = ""), HYPERLINK("https://maps.app.goo.gl/8AmqVAUV54EUe8eW6", "موقع"), "")</f>
        <v>موقع</v>
      </c>
      <c r="P185" s="15">
        <v>9000</v>
      </c>
      <c r="Q185" s="15" t="s">
        <v>788</v>
      </c>
      <c r="R185" s="24" t="s">
        <v>2756</v>
      </c>
    </row>
    <row r="186" spans="1:18" s="18" customFormat="1" ht="117.6" x14ac:dyDescent="0.3">
      <c r="A186" s="15" t="s">
        <v>789</v>
      </c>
      <c r="B186" s="15" t="s">
        <v>262</v>
      </c>
      <c r="C186" s="15" t="s">
        <v>281</v>
      </c>
      <c r="D186" s="15" t="s">
        <v>762</v>
      </c>
      <c r="E186" s="15" t="s">
        <v>763</v>
      </c>
      <c r="F186" s="15" t="s">
        <v>764</v>
      </c>
      <c r="G186" s="15" t="s">
        <v>786</v>
      </c>
      <c r="H186" s="15" t="s">
        <v>318</v>
      </c>
      <c r="I186" s="15">
        <v>381</v>
      </c>
      <c r="J186" s="15">
        <v>0</v>
      </c>
      <c r="K186" s="15"/>
      <c r="L186" s="15" t="s">
        <v>790</v>
      </c>
      <c r="M186" s="16" t="s">
        <v>2576</v>
      </c>
      <c r="N186" s="16" t="s">
        <v>2576</v>
      </c>
      <c r="O186" s="17" t="str">
        <f>IF(NOT("https://maps.app.goo.gl/nzvihjacCQVKVv8r8" = ""), HYPERLINK("https://maps.app.goo.gl/nzvihjacCQVKVv8r8", "موقع"), "")</f>
        <v>موقع</v>
      </c>
      <c r="P186" s="15">
        <v>13000</v>
      </c>
      <c r="Q186" s="15" t="s">
        <v>791</v>
      </c>
      <c r="R186" s="24" t="s">
        <v>2757</v>
      </c>
    </row>
    <row r="187" spans="1:18" s="18" customFormat="1" ht="319.2" x14ac:dyDescent="0.3">
      <c r="A187" s="15" t="s">
        <v>792</v>
      </c>
      <c r="B187" s="15" t="s">
        <v>262</v>
      </c>
      <c r="C187" s="15" t="s">
        <v>281</v>
      </c>
      <c r="D187" s="15" t="s">
        <v>762</v>
      </c>
      <c r="E187" s="15" t="s">
        <v>763</v>
      </c>
      <c r="F187" s="15" t="s">
        <v>764</v>
      </c>
      <c r="G187" s="15" t="s">
        <v>786</v>
      </c>
      <c r="H187" s="15" t="s">
        <v>318</v>
      </c>
      <c r="I187" s="15">
        <v>246</v>
      </c>
      <c r="J187" s="15">
        <v>0</v>
      </c>
      <c r="K187" s="15"/>
      <c r="L187" s="15" t="s">
        <v>793</v>
      </c>
      <c r="M187" s="16" t="s">
        <v>2576</v>
      </c>
      <c r="N187" s="16" t="s">
        <v>2576</v>
      </c>
      <c r="O187" s="17" t="str">
        <f>IF(NOT("https://maps.app.goo.gl/GyuKSSrucU1mHS8PA" = ""), HYPERLINK("https://maps.app.goo.gl/GyuKSSrucU1mHS8PA", "موقع"), "")</f>
        <v>موقع</v>
      </c>
      <c r="P187" s="15">
        <v>36000</v>
      </c>
      <c r="Q187" s="15" t="s">
        <v>794</v>
      </c>
      <c r="R187" s="24" t="s">
        <v>2758</v>
      </c>
    </row>
    <row r="188" spans="1:18" s="18" customFormat="1" ht="100.8" x14ac:dyDescent="0.3">
      <c r="A188" s="15" t="s">
        <v>761</v>
      </c>
      <c r="B188" s="15" t="s">
        <v>20</v>
      </c>
      <c r="C188" s="15" t="s">
        <v>54</v>
      </c>
      <c r="D188" s="15" t="s">
        <v>762</v>
      </c>
      <c r="E188" s="15" t="s">
        <v>763</v>
      </c>
      <c r="F188" s="15" t="s">
        <v>764</v>
      </c>
      <c r="G188" s="15" t="s">
        <v>765</v>
      </c>
      <c r="H188" s="15" t="s">
        <v>318</v>
      </c>
      <c r="I188" s="15">
        <v>830</v>
      </c>
      <c r="J188" s="15">
        <v>-101</v>
      </c>
      <c r="K188" s="15" t="s">
        <v>27</v>
      </c>
      <c r="L188" s="15" t="s">
        <v>766</v>
      </c>
      <c r="M188" s="16" t="s">
        <v>2576</v>
      </c>
      <c r="N188" s="16" t="s">
        <v>2576</v>
      </c>
      <c r="O188" s="17" t="str">
        <f>IF(NOT("https://maps.app.goo.gl/rLhjJBoAKcAsRd6y7" = ""), HYPERLINK("https://maps.app.goo.gl/rLhjJBoAKcAsRd6y7", "موقع"), "")</f>
        <v>موقع</v>
      </c>
      <c r="P188" s="15">
        <v>14000</v>
      </c>
      <c r="Q188" s="15" t="s">
        <v>767</v>
      </c>
      <c r="R188" s="24" t="s">
        <v>2751</v>
      </c>
    </row>
    <row r="189" spans="1:18" s="18" customFormat="1" ht="50.4" x14ac:dyDescent="0.3">
      <c r="A189" s="15" t="s">
        <v>768</v>
      </c>
      <c r="B189" s="15" t="s">
        <v>20</v>
      </c>
      <c r="C189" s="15" t="s">
        <v>54</v>
      </c>
      <c r="D189" s="15" t="s">
        <v>762</v>
      </c>
      <c r="E189" s="15" t="s">
        <v>763</v>
      </c>
      <c r="F189" s="15" t="s">
        <v>764</v>
      </c>
      <c r="G189" s="15" t="s">
        <v>769</v>
      </c>
      <c r="H189" s="15" t="s">
        <v>318</v>
      </c>
      <c r="I189" s="15">
        <v>384</v>
      </c>
      <c r="J189" s="15">
        <v>-101</v>
      </c>
      <c r="K189" s="15" t="s">
        <v>27</v>
      </c>
      <c r="L189" s="15" t="s">
        <v>770</v>
      </c>
      <c r="M189" s="16" t="s">
        <v>2576</v>
      </c>
      <c r="N189" s="16" t="s">
        <v>2576</v>
      </c>
      <c r="O189" s="17" t="str">
        <f>IF(NOT("https://maps.app.goo.gl/339xFF8oG3pQiBZK6" = ""), HYPERLINK("https://maps.app.goo.gl/339xFF8oG3pQiBZK6", "موقع"), "")</f>
        <v>موقع</v>
      </c>
      <c r="P189" s="15">
        <v>18000</v>
      </c>
      <c r="Q189" s="15" t="s">
        <v>771</v>
      </c>
      <c r="R189" s="24" t="s">
        <v>2752</v>
      </c>
    </row>
    <row r="190" spans="1:18" s="18" customFormat="1" ht="100.8" x14ac:dyDescent="0.3">
      <c r="A190" s="15" t="s">
        <v>772</v>
      </c>
      <c r="B190" s="15" t="s">
        <v>20</v>
      </c>
      <c r="C190" s="15" t="s">
        <v>54</v>
      </c>
      <c r="D190" s="15" t="s">
        <v>762</v>
      </c>
      <c r="E190" s="15" t="s">
        <v>763</v>
      </c>
      <c r="F190" s="15" t="s">
        <v>773</v>
      </c>
      <c r="G190" s="15" t="s">
        <v>774</v>
      </c>
      <c r="H190" s="15" t="s">
        <v>318</v>
      </c>
      <c r="I190" s="15">
        <v>506</v>
      </c>
      <c r="J190" s="15">
        <v>102</v>
      </c>
      <c r="K190" s="15" t="s">
        <v>32</v>
      </c>
      <c r="L190" s="15" t="s">
        <v>775</v>
      </c>
      <c r="M190" s="16" t="s">
        <v>2576</v>
      </c>
      <c r="N190" s="16" t="s">
        <v>2576</v>
      </c>
      <c r="O190" s="17" t="str">
        <f>IF(NOT("https://maps.app.goo.gl/9JdRDMJiocdRG3UWA" = ""), HYPERLINK("https://maps.app.goo.gl/9JdRDMJiocdRG3UWA", "موقع"), "")</f>
        <v>موقع</v>
      </c>
      <c r="P190" s="15">
        <v>19000</v>
      </c>
      <c r="Q190" s="15" t="s">
        <v>776</v>
      </c>
      <c r="R190" s="24" t="s">
        <v>2753</v>
      </c>
    </row>
    <row r="191" spans="1:18" s="18" customFormat="1" ht="50.4" x14ac:dyDescent="0.3">
      <c r="A191" s="15" t="s">
        <v>777</v>
      </c>
      <c r="B191" s="15" t="s">
        <v>20</v>
      </c>
      <c r="C191" s="15" t="s">
        <v>54</v>
      </c>
      <c r="D191" s="15" t="s">
        <v>762</v>
      </c>
      <c r="E191" s="15" t="s">
        <v>763</v>
      </c>
      <c r="F191" s="15" t="s">
        <v>764</v>
      </c>
      <c r="G191" s="15" t="s">
        <v>778</v>
      </c>
      <c r="H191" s="15" t="s">
        <v>779</v>
      </c>
      <c r="I191" s="15">
        <v>430</v>
      </c>
      <c r="J191" s="15">
        <v>111</v>
      </c>
      <c r="K191" s="15" t="s">
        <v>32</v>
      </c>
      <c r="L191" s="15" t="s">
        <v>780</v>
      </c>
      <c r="M191" s="16" t="s">
        <v>2576</v>
      </c>
      <c r="N191" s="16" t="s">
        <v>2576</v>
      </c>
      <c r="O191" s="17" t="str">
        <f>IF(NOT("https://maps.app.goo.gl/Eqs4yfTbVDHCPyfx8" = ""), HYPERLINK("https://maps.app.goo.gl/Eqs4yfTbVDHCPyfx8", "موقع"), "")</f>
        <v>موقع</v>
      </c>
      <c r="P191" s="15">
        <v>21000</v>
      </c>
      <c r="Q191" s="15" t="s">
        <v>781</v>
      </c>
      <c r="R191" s="24" t="s">
        <v>2754</v>
      </c>
    </row>
    <row r="192" spans="1:18" s="18" customFormat="1" ht="50.4" x14ac:dyDescent="0.3">
      <c r="A192" s="15" t="s">
        <v>782</v>
      </c>
      <c r="B192" s="15" t="s">
        <v>20</v>
      </c>
      <c r="C192" s="15" t="s">
        <v>54</v>
      </c>
      <c r="D192" s="15" t="s">
        <v>762</v>
      </c>
      <c r="E192" s="15" t="s">
        <v>763</v>
      </c>
      <c r="F192" s="15" t="s">
        <v>764</v>
      </c>
      <c r="G192" s="15" t="s">
        <v>783</v>
      </c>
      <c r="H192" s="15" t="s">
        <v>779</v>
      </c>
      <c r="I192" s="15">
        <v>486</v>
      </c>
      <c r="J192" s="15">
        <v>111</v>
      </c>
      <c r="K192" s="15" t="s">
        <v>32</v>
      </c>
      <c r="L192" s="15" t="s">
        <v>616</v>
      </c>
      <c r="M192" s="16" t="s">
        <v>2576</v>
      </c>
      <c r="N192" s="16" t="s">
        <v>2576</v>
      </c>
      <c r="O192" s="17" t="str">
        <f>IF(NOT("https://maps.app.goo.gl/sWVr5rvPBTvKmKxj7" = ""), HYPERLINK("https://maps.app.goo.gl/sWVr5rvPBTvKmKxj7", "موقع"), "")</f>
        <v>موقع</v>
      </c>
      <c r="P192" s="15">
        <v>22000</v>
      </c>
      <c r="Q192" s="15" t="s">
        <v>784</v>
      </c>
      <c r="R192" s="24" t="s">
        <v>2755</v>
      </c>
    </row>
    <row r="193" spans="1:18" s="18" customFormat="1" ht="100.8" x14ac:dyDescent="0.3">
      <c r="A193" s="15" t="s">
        <v>1321</v>
      </c>
      <c r="B193" s="15" t="s">
        <v>390</v>
      </c>
      <c r="C193" s="15" t="s">
        <v>391</v>
      </c>
      <c r="D193" s="15" t="s">
        <v>828</v>
      </c>
      <c r="E193" s="15" t="s">
        <v>860</v>
      </c>
      <c r="F193" s="15" t="s">
        <v>1303</v>
      </c>
      <c r="G193" s="15" t="s">
        <v>1322</v>
      </c>
      <c r="H193" s="15" t="s">
        <v>1305</v>
      </c>
      <c r="I193" s="15">
        <v>60</v>
      </c>
      <c r="J193" s="15">
        <v>0</v>
      </c>
      <c r="K193" s="15"/>
      <c r="L193" s="15" t="s">
        <v>1323</v>
      </c>
      <c r="M193" s="16" t="s">
        <v>2576</v>
      </c>
      <c r="N193" s="16" t="s">
        <v>2576</v>
      </c>
      <c r="O193" s="17" t="str">
        <f>IF(NOT("https://maps.app.goo.gl/xWvhhPpLzNgGCCHT6" = ""), HYPERLINK("https://maps.app.goo.gl/xWvhhPpLzNgGCCHT6", "موقع"), "")</f>
        <v>موقع</v>
      </c>
      <c r="P193" s="15">
        <v>20000</v>
      </c>
      <c r="Q193" s="15" t="s">
        <v>1324</v>
      </c>
      <c r="R193" s="24" t="s">
        <v>2910</v>
      </c>
    </row>
    <row r="194" spans="1:18" s="18" customFormat="1" ht="100.8" x14ac:dyDescent="0.3">
      <c r="A194" s="15" t="s">
        <v>1325</v>
      </c>
      <c r="B194" s="15" t="s">
        <v>390</v>
      </c>
      <c r="C194" s="15" t="s">
        <v>391</v>
      </c>
      <c r="D194" s="15" t="s">
        <v>828</v>
      </c>
      <c r="E194" s="15" t="s">
        <v>860</v>
      </c>
      <c r="F194" s="15" t="s">
        <v>1303</v>
      </c>
      <c r="G194" s="15" t="s">
        <v>1322</v>
      </c>
      <c r="H194" s="15" t="s">
        <v>1305</v>
      </c>
      <c r="I194" s="15">
        <v>80</v>
      </c>
      <c r="J194" s="15">
        <v>0</v>
      </c>
      <c r="K194" s="15"/>
      <c r="L194" s="15" t="s">
        <v>1326</v>
      </c>
      <c r="M194" s="16" t="s">
        <v>2576</v>
      </c>
      <c r="N194" s="16" t="s">
        <v>2576</v>
      </c>
      <c r="O194" s="17" t="str">
        <f>IF(NOT("https://maps.app.goo.gl/Gtpt8xaACQYT3XueA" = ""), HYPERLINK("https://maps.app.goo.gl/Gtpt8xaACQYT3XueA", "موقع"), "")</f>
        <v>موقع</v>
      </c>
      <c r="P194" s="15">
        <v>21000</v>
      </c>
      <c r="Q194" s="15" t="s">
        <v>1327</v>
      </c>
      <c r="R194" s="24" t="s">
        <v>2911</v>
      </c>
    </row>
    <row r="195" spans="1:18" s="18" customFormat="1" ht="100.8" x14ac:dyDescent="0.3">
      <c r="A195" s="15" t="s">
        <v>1328</v>
      </c>
      <c r="B195" s="15" t="s">
        <v>390</v>
      </c>
      <c r="C195" s="15" t="s">
        <v>391</v>
      </c>
      <c r="D195" s="15" t="s">
        <v>828</v>
      </c>
      <c r="E195" s="15" t="s">
        <v>974</v>
      </c>
      <c r="F195" s="15" t="s">
        <v>1019</v>
      </c>
      <c r="G195" s="15" t="s">
        <v>1329</v>
      </c>
      <c r="H195" s="15" t="s">
        <v>1330</v>
      </c>
      <c r="I195" s="15">
        <v>397</v>
      </c>
      <c r="J195" s="15">
        <v>0</v>
      </c>
      <c r="K195" s="15"/>
      <c r="L195" s="15" t="s">
        <v>1331</v>
      </c>
      <c r="M195" s="16" t="s">
        <v>2576</v>
      </c>
      <c r="N195" s="16" t="s">
        <v>2576</v>
      </c>
      <c r="O195" s="16" t="s">
        <v>2576</v>
      </c>
      <c r="P195" s="15">
        <v>23000</v>
      </c>
      <c r="Q195" s="15" t="s">
        <v>1332</v>
      </c>
      <c r="R195" s="24" t="s">
        <v>2912</v>
      </c>
    </row>
    <row r="196" spans="1:18" s="18" customFormat="1" ht="100.8" x14ac:dyDescent="0.3">
      <c r="A196" s="15" t="s">
        <v>1333</v>
      </c>
      <c r="B196" s="15" t="s">
        <v>390</v>
      </c>
      <c r="C196" s="15" t="s">
        <v>391</v>
      </c>
      <c r="D196" s="15" t="s">
        <v>828</v>
      </c>
      <c r="E196" s="15" t="s">
        <v>860</v>
      </c>
      <c r="F196" s="15" t="s">
        <v>1303</v>
      </c>
      <c r="G196" s="15" t="s">
        <v>1322</v>
      </c>
      <c r="H196" s="15" t="s">
        <v>1305</v>
      </c>
      <c r="I196" s="15">
        <v>61</v>
      </c>
      <c r="J196" s="15">
        <v>0</v>
      </c>
      <c r="K196" s="15"/>
      <c r="L196" s="15" t="s">
        <v>790</v>
      </c>
      <c r="M196" s="16" t="s">
        <v>2576</v>
      </c>
      <c r="N196" s="16" t="s">
        <v>2576</v>
      </c>
      <c r="O196" s="17" t="str">
        <f>IF(NOT("https://maps.app.goo.gl/jYJ6GS7CYZLeL1ci8" = ""), HYPERLINK("https://maps.app.goo.gl/jYJ6GS7CYZLeL1ci8", "موقع"), "")</f>
        <v>موقع</v>
      </c>
      <c r="P196" s="15">
        <v>23000</v>
      </c>
      <c r="Q196" s="15" t="s">
        <v>1334</v>
      </c>
      <c r="R196" s="24" t="s">
        <v>2913</v>
      </c>
    </row>
    <row r="197" spans="1:18" s="18" customFormat="1" ht="100.8" x14ac:dyDescent="0.3">
      <c r="A197" s="15" t="s">
        <v>1335</v>
      </c>
      <c r="B197" s="15" t="s">
        <v>390</v>
      </c>
      <c r="C197" s="15" t="s">
        <v>391</v>
      </c>
      <c r="D197" s="15" t="s">
        <v>828</v>
      </c>
      <c r="E197" s="15" t="s">
        <v>860</v>
      </c>
      <c r="F197" s="15" t="s">
        <v>1303</v>
      </c>
      <c r="G197" s="15" t="s">
        <v>1322</v>
      </c>
      <c r="H197" s="15" t="s">
        <v>1305</v>
      </c>
      <c r="I197" s="15">
        <v>70</v>
      </c>
      <c r="J197" s="15">
        <v>0</v>
      </c>
      <c r="K197" s="15"/>
      <c r="L197" s="15" t="s">
        <v>1336</v>
      </c>
      <c r="M197" s="16" t="s">
        <v>2576</v>
      </c>
      <c r="N197" s="16" t="s">
        <v>2576</v>
      </c>
      <c r="O197" s="17" t="str">
        <f>IF(NOT("https://maps.app.goo.gl/LjLqjmFroMsT1p427" = ""), HYPERLINK("https://maps.app.goo.gl/LjLqjmFroMsT1p427", "موقع"), "")</f>
        <v>موقع</v>
      </c>
      <c r="P197" s="15">
        <v>25000</v>
      </c>
      <c r="Q197" s="15" t="s">
        <v>1337</v>
      </c>
      <c r="R197" s="24" t="s">
        <v>2914</v>
      </c>
    </row>
    <row r="198" spans="1:18" s="18" customFormat="1" ht="100.8" x14ac:dyDescent="0.3">
      <c r="A198" s="15" t="s">
        <v>1338</v>
      </c>
      <c r="B198" s="15" t="s">
        <v>390</v>
      </c>
      <c r="C198" s="15" t="s">
        <v>391</v>
      </c>
      <c r="D198" s="15" t="s">
        <v>828</v>
      </c>
      <c r="E198" s="15" t="s">
        <v>860</v>
      </c>
      <c r="F198" s="15" t="s">
        <v>1303</v>
      </c>
      <c r="G198" s="15" t="s">
        <v>1322</v>
      </c>
      <c r="H198" s="15" t="s">
        <v>1305</v>
      </c>
      <c r="I198" s="15">
        <v>45</v>
      </c>
      <c r="J198" s="15">
        <v>0</v>
      </c>
      <c r="K198" s="15"/>
      <c r="L198" s="15" t="s">
        <v>1339</v>
      </c>
      <c r="M198" s="16" t="s">
        <v>2576</v>
      </c>
      <c r="N198" s="16" t="s">
        <v>2576</v>
      </c>
      <c r="O198" s="17" t="str">
        <f>IF(NOT("https://maps.app.goo.gl/MnzGw7gXvVmfvBmLA" = ""), HYPERLINK("https://maps.app.goo.gl/MnzGw7gXvVmfvBmLA", "موقع"), "")</f>
        <v>موقع</v>
      </c>
      <c r="P198" s="15">
        <v>27000</v>
      </c>
      <c r="Q198" s="15" t="s">
        <v>1340</v>
      </c>
      <c r="R198" s="24" t="s">
        <v>2915</v>
      </c>
    </row>
    <row r="199" spans="1:18" s="18" customFormat="1" ht="50.4" x14ac:dyDescent="0.3">
      <c r="A199" s="15" t="s">
        <v>1341</v>
      </c>
      <c r="B199" s="15" t="s">
        <v>390</v>
      </c>
      <c r="C199" s="15" t="s">
        <v>391</v>
      </c>
      <c r="D199" s="15" t="s">
        <v>828</v>
      </c>
      <c r="E199" s="15" t="s">
        <v>974</v>
      </c>
      <c r="F199" s="15" t="s">
        <v>1019</v>
      </c>
      <c r="G199" s="15" t="s">
        <v>1329</v>
      </c>
      <c r="H199" s="15" t="s">
        <v>1021</v>
      </c>
      <c r="I199" s="15">
        <v>404</v>
      </c>
      <c r="J199" s="15">
        <v>0</v>
      </c>
      <c r="K199" s="15"/>
      <c r="L199" s="15" t="s">
        <v>1342</v>
      </c>
      <c r="M199" s="16" t="s">
        <v>2576</v>
      </c>
      <c r="N199" s="16" t="s">
        <v>2576</v>
      </c>
      <c r="O199" s="16" t="s">
        <v>2576</v>
      </c>
      <c r="P199" s="15">
        <v>29000</v>
      </c>
      <c r="Q199" s="15" t="s">
        <v>1343</v>
      </c>
      <c r="R199" s="24" t="s">
        <v>2916</v>
      </c>
    </row>
    <row r="200" spans="1:18" s="18" customFormat="1" ht="117.6" x14ac:dyDescent="0.3">
      <c r="A200" s="15" t="s">
        <v>1344</v>
      </c>
      <c r="B200" s="15" t="s">
        <v>390</v>
      </c>
      <c r="C200" s="15" t="s">
        <v>391</v>
      </c>
      <c r="D200" s="15" t="s">
        <v>828</v>
      </c>
      <c r="E200" s="15" t="s">
        <v>860</v>
      </c>
      <c r="F200" s="15" t="s">
        <v>1345</v>
      </c>
      <c r="G200" s="15" t="s">
        <v>1346</v>
      </c>
      <c r="H200" s="15" t="s">
        <v>1347</v>
      </c>
      <c r="I200" s="15">
        <v>855</v>
      </c>
      <c r="J200" s="15"/>
      <c r="K200" s="15"/>
      <c r="L200" s="15" t="s">
        <v>1348</v>
      </c>
      <c r="M200" s="16" t="s">
        <v>2576</v>
      </c>
      <c r="N200" s="16" t="s">
        <v>2576</v>
      </c>
      <c r="O200" s="16" t="s">
        <v>2576</v>
      </c>
      <c r="P200" s="15">
        <v>30000</v>
      </c>
      <c r="Q200" s="15" t="s">
        <v>1349</v>
      </c>
      <c r="R200" s="24" t="s">
        <v>2917</v>
      </c>
    </row>
    <row r="201" spans="1:18" s="18" customFormat="1" ht="100.8" x14ac:dyDescent="0.3">
      <c r="A201" s="15" t="s">
        <v>1350</v>
      </c>
      <c r="B201" s="15" t="s">
        <v>390</v>
      </c>
      <c r="C201" s="15" t="s">
        <v>391</v>
      </c>
      <c r="D201" s="15" t="s">
        <v>828</v>
      </c>
      <c r="E201" s="15" t="s">
        <v>860</v>
      </c>
      <c r="F201" s="15" t="s">
        <v>1303</v>
      </c>
      <c r="G201" s="15" t="s">
        <v>1322</v>
      </c>
      <c r="H201" s="15" t="s">
        <v>1305</v>
      </c>
      <c r="I201" s="15">
        <v>74</v>
      </c>
      <c r="J201" s="15">
        <v>0</v>
      </c>
      <c r="K201" s="15"/>
      <c r="L201" s="15" t="s">
        <v>1351</v>
      </c>
      <c r="M201" s="16" t="s">
        <v>2576</v>
      </c>
      <c r="N201" s="16" t="s">
        <v>2576</v>
      </c>
      <c r="O201" s="17" t="str">
        <f>IF(NOT("https://maps.app.goo.gl/v9f3f9AzTj5z6k2M8" = ""), HYPERLINK("https://maps.app.goo.gl/v9f3f9AzTj5z6k2M8", "موقع"), "")</f>
        <v>موقع</v>
      </c>
      <c r="P201" s="15">
        <v>31000</v>
      </c>
      <c r="Q201" s="15" t="s">
        <v>1352</v>
      </c>
      <c r="R201" s="24" t="s">
        <v>2918</v>
      </c>
    </row>
    <row r="202" spans="1:18" s="18" customFormat="1" ht="67.2" x14ac:dyDescent="0.3">
      <c r="A202" s="15" t="s">
        <v>1353</v>
      </c>
      <c r="B202" s="15" t="s">
        <v>390</v>
      </c>
      <c r="C202" s="15" t="s">
        <v>391</v>
      </c>
      <c r="D202" s="15" t="s">
        <v>828</v>
      </c>
      <c r="E202" s="15" t="s">
        <v>860</v>
      </c>
      <c r="F202" s="15" t="s">
        <v>1312</v>
      </c>
      <c r="G202" s="15" t="s">
        <v>1354</v>
      </c>
      <c r="H202" s="15" t="s">
        <v>1314</v>
      </c>
      <c r="I202" s="15">
        <v>486</v>
      </c>
      <c r="J202" s="15">
        <v>0</v>
      </c>
      <c r="K202" s="15"/>
      <c r="L202" s="15" t="s">
        <v>1355</v>
      </c>
      <c r="M202" s="16" t="s">
        <v>2576</v>
      </c>
      <c r="N202" s="16" t="s">
        <v>2576</v>
      </c>
      <c r="O202" s="16" t="s">
        <v>2576</v>
      </c>
      <c r="P202" s="15">
        <v>40000</v>
      </c>
      <c r="Q202" s="15" t="s">
        <v>1356</v>
      </c>
      <c r="R202" s="24" t="s">
        <v>2919</v>
      </c>
    </row>
    <row r="203" spans="1:18" s="18" customFormat="1" ht="100.8" x14ac:dyDescent="0.3">
      <c r="A203" s="15" t="s">
        <v>1357</v>
      </c>
      <c r="B203" s="15" t="s">
        <v>390</v>
      </c>
      <c r="C203" s="15" t="s">
        <v>391</v>
      </c>
      <c r="D203" s="15" t="s">
        <v>828</v>
      </c>
      <c r="E203" s="15" t="s">
        <v>860</v>
      </c>
      <c r="F203" s="15" t="s">
        <v>861</v>
      </c>
      <c r="G203" s="15" t="s">
        <v>1083</v>
      </c>
      <c r="H203" s="15" t="s">
        <v>1084</v>
      </c>
      <c r="I203" s="15">
        <v>2179</v>
      </c>
      <c r="J203" s="15">
        <v>0</v>
      </c>
      <c r="K203" s="15"/>
      <c r="L203" s="15" t="s">
        <v>1358</v>
      </c>
      <c r="M203" s="16" t="s">
        <v>2576</v>
      </c>
      <c r="N203" s="16" t="s">
        <v>2576</v>
      </c>
      <c r="O203" s="17" t="str">
        <f>IF(NOT("https://maps.app.goo.gl/gqfMFVdFKwuCKU136" = ""), HYPERLINK("https://maps.app.goo.gl/gqfMFVdFKwuCKU136", "موقع"), "")</f>
        <v>موقع</v>
      </c>
      <c r="P203" s="15">
        <v>42000</v>
      </c>
      <c r="Q203" s="15" t="s">
        <v>1359</v>
      </c>
      <c r="R203" s="24" t="s">
        <v>2920</v>
      </c>
    </row>
    <row r="204" spans="1:18" s="18" customFormat="1" ht="100.8" x14ac:dyDescent="0.3">
      <c r="A204" s="15" t="s">
        <v>1360</v>
      </c>
      <c r="B204" s="15" t="s">
        <v>390</v>
      </c>
      <c r="C204" s="15" t="s">
        <v>391</v>
      </c>
      <c r="D204" s="15" t="s">
        <v>828</v>
      </c>
      <c r="E204" s="15" t="s">
        <v>860</v>
      </c>
      <c r="F204" s="15" t="s">
        <v>1345</v>
      </c>
      <c r="G204" s="15" t="s">
        <v>1361</v>
      </c>
      <c r="H204" s="15" t="s">
        <v>1347</v>
      </c>
      <c r="I204" s="15">
        <v>369</v>
      </c>
      <c r="J204" s="15"/>
      <c r="K204" s="15"/>
      <c r="L204" s="15" t="s">
        <v>1362</v>
      </c>
      <c r="M204" s="16" t="s">
        <v>2576</v>
      </c>
      <c r="N204" s="16" t="s">
        <v>2576</v>
      </c>
      <c r="O204" s="16" t="s">
        <v>2576</v>
      </c>
      <c r="P204" s="15">
        <v>43000</v>
      </c>
      <c r="Q204" s="15" t="s">
        <v>1363</v>
      </c>
      <c r="R204" s="24" t="s">
        <v>2921</v>
      </c>
    </row>
    <row r="205" spans="1:18" s="18" customFormat="1" ht="100.8" x14ac:dyDescent="0.3">
      <c r="A205" s="15" t="s">
        <v>1364</v>
      </c>
      <c r="B205" s="15" t="s">
        <v>390</v>
      </c>
      <c r="C205" s="15" t="s">
        <v>391</v>
      </c>
      <c r="D205" s="15" t="s">
        <v>828</v>
      </c>
      <c r="E205" s="15" t="s">
        <v>860</v>
      </c>
      <c r="F205" s="15" t="s">
        <v>1345</v>
      </c>
      <c r="G205" s="15" t="s">
        <v>1361</v>
      </c>
      <c r="H205" s="15" t="s">
        <v>1347</v>
      </c>
      <c r="I205" s="15">
        <v>368</v>
      </c>
      <c r="J205" s="15">
        <v>0</v>
      </c>
      <c r="K205" s="15"/>
      <c r="L205" s="15" t="s">
        <v>1362</v>
      </c>
      <c r="M205" s="16" t="s">
        <v>2576</v>
      </c>
      <c r="N205" s="16" t="s">
        <v>2576</v>
      </c>
      <c r="O205" s="16" t="s">
        <v>2576</v>
      </c>
      <c r="P205" s="15">
        <v>43000</v>
      </c>
      <c r="Q205" s="15" t="s">
        <v>1363</v>
      </c>
      <c r="R205" s="24" t="s">
        <v>2922</v>
      </c>
    </row>
    <row r="206" spans="1:18" s="18" customFormat="1" ht="100.8" x14ac:dyDescent="0.3">
      <c r="A206" s="15" t="s">
        <v>1365</v>
      </c>
      <c r="B206" s="15" t="s">
        <v>390</v>
      </c>
      <c r="C206" s="15" t="s">
        <v>391</v>
      </c>
      <c r="D206" s="15" t="s">
        <v>828</v>
      </c>
      <c r="E206" s="15" t="s">
        <v>860</v>
      </c>
      <c r="F206" s="15" t="s">
        <v>1345</v>
      </c>
      <c r="G206" s="15" t="s">
        <v>1361</v>
      </c>
      <c r="H206" s="15" t="s">
        <v>1347</v>
      </c>
      <c r="I206" s="15">
        <v>366</v>
      </c>
      <c r="J206" s="15">
        <v>0</v>
      </c>
      <c r="K206" s="15"/>
      <c r="L206" s="15" t="s">
        <v>1362</v>
      </c>
      <c r="M206" s="16" t="s">
        <v>2576</v>
      </c>
      <c r="N206" s="16" t="s">
        <v>2576</v>
      </c>
      <c r="O206" s="16" t="s">
        <v>2576</v>
      </c>
      <c r="P206" s="15">
        <v>43000</v>
      </c>
      <c r="Q206" s="15" t="s">
        <v>1363</v>
      </c>
      <c r="R206" s="24" t="s">
        <v>2923</v>
      </c>
    </row>
    <row r="207" spans="1:18" s="18" customFormat="1" ht="100.8" x14ac:dyDescent="0.3">
      <c r="A207" s="15" t="s">
        <v>1366</v>
      </c>
      <c r="B207" s="15" t="s">
        <v>390</v>
      </c>
      <c r="C207" s="15" t="s">
        <v>391</v>
      </c>
      <c r="D207" s="15" t="s">
        <v>828</v>
      </c>
      <c r="E207" s="15" t="s">
        <v>860</v>
      </c>
      <c r="F207" s="15" t="s">
        <v>1345</v>
      </c>
      <c r="G207" s="15" t="s">
        <v>1361</v>
      </c>
      <c r="H207" s="15" t="s">
        <v>1347</v>
      </c>
      <c r="I207" s="15">
        <v>365</v>
      </c>
      <c r="J207" s="15"/>
      <c r="K207" s="15"/>
      <c r="L207" s="15" t="s">
        <v>1362</v>
      </c>
      <c r="M207" s="16" t="s">
        <v>2576</v>
      </c>
      <c r="N207" s="16" t="s">
        <v>2576</v>
      </c>
      <c r="O207" s="16" t="s">
        <v>2576</v>
      </c>
      <c r="P207" s="15">
        <v>43000</v>
      </c>
      <c r="Q207" s="15" t="s">
        <v>1363</v>
      </c>
      <c r="R207" s="24" t="s">
        <v>2924</v>
      </c>
    </row>
    <row r="208" spans="1:18" s="18" customFormat="1" ht="100.8" x14ac:dyDescent="0.3">
      <c r="A208" s="15" t="s">
        <v>1367</v>
      </c>
      <c r="B208" s="15" t="s">
        <v>390</v>
      </c>
      <c r="C208" s="15" t="s">
        <v>391</v>
      </c>
      <c r="D208" s="15" t="s">
        <v>828</v>
      </c>
      <c r="E208" s="15" t="s">
        <v>860</v>
      </c>
      <c r="F208" s="15" t="s">
        <v>1345</v>
      </c>
      <c r="G208" s="15" t="s">
        <v>1361</v>
      </c>
      <c r="H208" s="15" t="s">
        <v>1347</v>
      </c>
      <c r="I208" s="15">
        <v>367</v>
      </c>
      <c r="J208" s="15"/>
      <c r="K208" s="15"/>
      <c r="L208" s="15" t="s">
        <v>1362</v>
      </c>
      <c r="M208" s="16" t="s">
        <v>2576</v>
      </c>
      <c r="N208" s="16" t="s">
        <v>2576</v>
      </c>
      <c r="O208" s="16" t="s">
        <v>2576</v>
      </c>
      <c r="P208" s="15">
        <v>43000</v>
      </c>
      <c r="Q208" s="15" t="s">
        <v>1363</v>
      </c>
      <c r="R208" s="24" t="s">
        <v>2925</v>
      </c>
    </row>
    <row r="209" spans="1:18" s="18" customFormat="1" ht="100.8" x14ac:dyDescent="0.3">
      <c r="A209" s="15" t="s">
        <v>1368</v>
      </c>
      <c r="B209" s="15" t="s">
        <v>390</v>
      </c>
      <c r="C209" s="15" t="s">
        <v>391</v>
      </c>
      <c r="D209" s="15" t="s">
        <v>828</v>
      </c>
      <c r="E209" s="15" t="s">
        <v>860</v>
      </c>
      <c r="F209" s="15" t="s">
        <v>1345</v>
      </c>
      <c r="G209" s="15" t="s">
        <v>1361</v>
      </c>
      <c r="H209" s="15" t="s">
        <v>1347</v>
      </c>
      <c r="I209" s="15">
        <v>373</v>
      </c>
      <c r="J209" s="15"/>
      <c r="K209" s="15"/>
      <c r="L209" s="15" t="s">
        <v>1369</v>
      </c>
      <c r="M209" s="16" t="s">
        <v>2576</v>
      </c>
      <c r="N209" s="16" t="s">
        <v>2576</v>
      </c>
      <c r="O209" s="16" t="s">
        <v>2576</v>
      </c>
      <c r="P209" s="15">
        <v>52000</v>
      </c>
      <c r="Q209" s="15" t="s">
        <v>1370</v>
      </c>
      <c r="R209" s="24" t="s">
        <v>2926</v>
      </c>
    </row>
    <row r="210" spans="1:18" s="18" customFormat="1" ht="100.8" x14ac:dyDescent="0.3">
      <c r="A210" s="15" t="s">
        <v>1371</v>
      </c>
      <c r="B210" s="15" t="s">
        <v>390</v>
      </c>
      <c r="C210" s="15" t="s">
        <v>391</v>
      </c>
      <c r="D210" s="15" t="s">
        <v>828</v>
      </c>
      <c r="E210" s="15" t="s">
        <v>860</v>
      </c>
      <c r="F210" s="15" t="s">
        <v>1345</v>
      </c>
      <c r="G210" s="15" t="s">
        <v>1361</v>
      </c>
      <c r="H210" s="15" t="s">
        <v>1347</v>
      </c>
      <c r="I210" s="15">
        <v>371</v>
      </c>
      <c r="J210" s="15"/>
      <c r="K210" s="15"/>
      <c r="L210" s="15" t="s">
        <v>1369</v>
      </c>
      <c r="M210" s="16" t="s">
        <v>2576</v>
      </c>
      <c r="N210" s="16" t="s">
        <v>2576</v>
      </c>
      <c r="O210" s="16" t="s">
        <v>2576</v>
      </c>
      <c r="P210" s="15">
        <v>52000</v>
      </c>
      <c r="Q210" s="15" t="s">
        <v>1370</v>
      </c>
      <c r="R210" s="24" t="s">
        <v>2927</v>
      </c>
    </row>
    <row r="211" spans="1:18" s="18" customFormat="1" ht="100.8" x14ac:dyDescent="0.3">
      <c r="A211" s="15" t="s">
        <v>1372</v>
      </c>
      <c r="B211" s="15" t="s">
        <v>390</v>
      </c>
      <c r="C211" s="15" t="s">
        <v>391</v>
      </c>
      <c r="D211" s="15" t="s">
        <v>828</v>
      </c>
      <c r="E211" s="15" t="s">
        <v>860</v>
      </c>
      <c r="F211" s="15" t="s">
        <v>1345</v>
      </c>
      <c r="G211" s="15" t="s">
        <v>1361</v>
      </c>
      <c r="H211" s="15" t="s">
        <v>1347</v>
      </c>
      <c r="I211" s="15">
        <v>372</v>
      </c>
      <c r="J211" s="15">
        <v>0</v>
      </c>
      <c r="K211" s="15"/>
      <c r="L211" s="15" t="s">
        <v>1369</v>
      </c>
      <c r="M211" s="16" t="s">
        <v>2576</v>
      </c>
      <c r="N211" s="16" t="s">
        <v>2576</v>
      </c>
      <c r="O211" s="16" t="s">
        <v>2576</v>
      </c>
      <c r="P211" s="15">
        <v>52000</v>
      </c>
      <c r="Q211" s="15" t="s">
        <v>1370</v>
      </c>
      <c r="R211" s="24" t="s">
        <v>2928</v>
      </c>
    </row>
    <row r="212" spans="1:18" s="18" customFormat="1" ht="100.8" x14ac:dyDescent="0.3">
      <c r="A212" s="15" t="s">
        <v>1373</v>
      </c>
      <c r="B212" s="15" t="s">
        <v>390</v>
      </c>
      <c r="C212" s="15" t="s">
        <v>391</v>
      </c>
      <c r="D212" s="15" t="s">
        <v>828</v>
      </c>
      <c r="E212" s="15" t="s">
        <v>860</v>
      </c>
      <c r="F212" s="15" t="s">
        <v>1345</v>
      </c>
      <c r="G212" s="15" t="s">
        <v>1361</v>
      </c>
      <c r="H212" s="15" t="s">
        <v>1347</v>
      </c>
      <c r="I212" s="15">
        <v>370</v>
      </c>
      <c r="J212" s="15"/>
      <c r="K212" s="15"/>
      <c r="L212" s="15" t="s">
        <v>1369</v>
      </c>
      <c r="M212" s="16" t="s">
        <v>2576</v>
      </c>
      <c r="N212" s="16" t="s">
        <v>2576</v>
      </c>
      <c r="O212" s="16" t="s">
        <v>2576</v>
      </c>
      <c r="P212" s="15">
        <v>57000</v>
      </c>
      <c r="Q212" s="15" t="s">
        <v>1370</v>
      </c>
      <c r="R212" s="24" t="s">
        <v>2929</v>
      </c>
    </row>
    <row r="213" spans="1:18" s="18" customFormat="1" ht="100.8" x14ac:dyDescent="0.3">
      <c r="A213" s="15" t="s">
        <v>1374</v>
      </c>
      <c r="B213" s="15" t="s">
        <v>390</v>
      </c>
      <c r="C213" s="15" t="s">
        <v>391</v>
      </c>
      <c r="D213" s="15" t="s">
        <v>828</v>
      </c>
      <c r="E213" s="15" t="s">
        <v>860</v>
      </c>
      <c r="F213" s="15" t="s">
        <v>1345</v>
      </c>
      <c r="G213" s="15" t="s">
        <v>1361</v>
      </c>
      <c r="H213" s="15" t="s">
        <v>1347</v>
      </c>
      <c r="I213" s="15">
        <v>374</v>
      </c>
      <c r="J213" s="15"/>
      <c r="K213" s="15"/>
      <c r="L213" s="15" t="s">
        <v>1369</v>
      </c>
      <c r="M213" s="16" t="s">
        <v>2576</v>
      </c>
      <c r="N213" s="16" t="s">
        <v>2576</v>
      </c>
      <c r="O213" s="16" t="s">
        <v>2576</v>
      </c>
      <c r="P213" s="15">
        <v>57000</v>
      </c>
      <c r="Q213" s="15" t="s">
        <v>1370</v>
      </c>
      <c r="R213" s="24" t="s">
        <v>2930</v>
      </c>
    </row>
    <row r="214" spans="1:18" s="18" customFormat="1" ht="201.6" x14ac:dyDescent="0.3">
      <c r="A214" s="15" t="s">
        <v>1375</v>
      </c>
      <c r="B214" s="15" t="s">
        <v>390</v>
      </c>
      <c r="C214" s="15" t="s">
        <v>391</v>
      </c>
      <c r="D214" s="15" t="s">
        <v>828</v>
      </c>
      <c r="E214" s="15" t="s">
        <v>974</v>
      </c>
      <c r="F214" s="15" t="s">
        <v>1019</v>
      </c>
      <c r="G214" s="15" t="s">
        <v>79</v>
      </c>
      <c r="H214" s="15" t="s">
        <v>1021</v>
      </c>
      <c r="I214" s="15">
        <v>96</v>
      </c>
      <c r="J214" s="15">
        <v>0</v>
      </c>
      <c r="K214" s="15"/>
      <c r="L214" s="15" t="s">
        <v>1376</v>
      </c>
      <c r="M214" s="16" t="s">
        <v>2576</v>
      </c>
      <c r="N214" s="16" t="s">
        <v>2576</v>
      </c>
      <c r="O214" s="17" t="str">
        <f>IF(NOT("https://maps.app.goo.gl/YPSQLb655B6h7NoW7" = ""), HYPERLINK("https://maps.app.goo.gl/YPSQLb655B6h7NoW7", "موقع"), "")</f>
        <v>موقع</v>
      </c>
      <c r="P214" s="15">
        <v>63000</v>
      </c>
      <c r="Q214" s="15" t="s">
        <v>1377</v>
      </c>
      <c r="R214" s="24" t="s">
        <v>2931</v>
      </c>
    </row>
    <row r="215" spans="1:18" s="18" customFormat="1" ht="100.8" x14ac:dyDescent="0.3">
      <c r="A215" s="15" t="s">
        <v>1378</v>
      </c>
      <c r="B215" s="15" t="s">
        <v>390</v>
      </c>
      <c r="C215" s="15" t="s">
        <v>391</v>
      </c>
      <c r="D215" s="15" t="s">
        <v>828</v>
      </c>
      <c r="E215" s="15" t="s">
        <v>974</v>
      </c>
      <c r="F215" s="15" t="s">
        <v>975</v>
      </c>
      <c r="G215" s="15" t="s">
        <v>1379</v>
      </c>
      <c r="H215" s="15" t="s">
        <v>1330</v>
      </c>
      <c r="I215" s="15">
        <v>555</v>
      </c>
      <c r="J215" s="15"/>
      <c r="K215" s="15"/>
      <c r="L215" s="15" t="s">
        <v>1380</v>
      </c>
      <c r="M215" s="16" t="s">
        <v>2576</v>
      </c>
      <c r="N215" s="16" t="s">
        <v>2576</v>
      </c>
      <c r="O215" s="16" t="s">
        <v>2576</v>
      </c>
      <c r="P215" s="15">
        <v>69000</v>
      </c>
      <c r="Q215" s="15" t="s">
        <v>1381</v>
      </c>
      <c r="R215" s="24" t="s">
        <v>2932</v>
      </c>
    </row>
    <row r="216" spans="1:18" s="18" customFormat="1" ht="117.6" x14ac:dyDescent="0.3">
      <c r="A216" s="15" t="s">
        <v>1382</v>
      </c>
      <c r="B216" s="15" t="s">
        <v>390</v>
      </c>
      <c r="C216" s="15" t="s">
        <v>391</v>
      </c>
      <c r="D216" s="15" t="s">
        <v>828</v>
      </c>
      <c r="E216" s="15" t="s">
        <v>860</v>
      </c>
      <c r="F216" s="15" t="s">
        <v>861</v>
      </c>
      <c r="G216" s="15" t="s">
        <v>1383</v>
      </c>
      <c r="H216" s="15" t="s">
        <v>870</v>
      </c>
      <c r="I216" s="15">
        <v>968</v>
      </c>
      <c r="J216" s="15">
        <v>0</v>
      </c>
      <c r="K216" s="15"/>
      <c r="L216" s="15" t="s">
        <v>1384</v>
      </c>
      <c r="M216" s="16" t="s">
        <v>2576</v>
      </c>
      <c r="N216" s="16" t="s">
        <v>2576</v>
      </c>
      <c r="O216" s="17" t="str">
        <f>IF(NOT("https://maps.app.goo.gl/WBUQqXA4gLND48kUA" = ""), HYPERLINK("https://maps.app.goo.gl/WBUQqXA4gLND48kUA", "موقع"), "")</f>
        <v>موقع</v>
      </c>
      <c r="P216" s="15">
        <v>71000</v>
      </c>
      <c r="Q216" s="15" t="s">
        <v>1385</v>
      </c>
      <c r="R216" s="24" t="s">
        <v>2933</v>
      </c>
    </row>
    <row r="217" spans="1:18" s="18" customFormat="1" ht="100.8" x14ac:dyDescent="0.3">
      <c r="A217" s="15" t="s">
        <v>1386</v>
      </c>
      <c r="B217" s="15" t="s">
        <v>390</v>
      </c>
      <c r="C217" s="15" t="s">
        <v>391</v>
      </c>
      <c r="D217" s="15" t="s">
        <v>828</v>
      </c>
      <c r="E217" s="15" t="s">
        <v>860</v>
      </c>
      <c r="F217" s="15" t="s">
        <v>1387</v>
      </c>
      <c r="G217" s="15" t="s">
        <v>1388</v>
      </c>
      <c r="H217" s="15" t="s">
        <v>1389</v>
      </c>
      <c r="I217" s="15">
        <v>336</v>
      </c>
      <c r="J217" s="15">
        <v>0</v>
      </c>
      <c r="K217" s="15"/>
      <c r="L217" s="15" t="s">
        <v>1390</v>
      </c>
      <c r="M217" s="16" t="s">
        <v>2576</v>
      </c>
      <c r="N217" s="16" t="s">
        <v>2576</v>
      </c>
      <c r="O217" s="17" t="str">
        <f>IF(NOT("https://maps.app.goo.gl/jvgU1UXEWfvHr3Jj6" = ""), HYPERLINK("https://maps.app.goo.gl/jvgU1UXEWfvHr3Jj6", "موقع"), "")</f>
        <v>موقع</v>
      </c>
      <c r="P217" s="15">
        <v>122000</v>
      </c>
      <c r="Q217" s="15" t="s">
        <v>1391</v>
      </c>
      <c r="R217" s="24" t="s">
        <v>2934</v>
      </c>
    </row>
    <row r="218" spans="1:18" s="18" customFormat="1" ht="100.8" x14ac:dyDescent="0.3">
      <c r="A218" s="15" t="s">
        <v>1392</v>
      </c>
      <c r="B218" s="15" t="s">
        <v>390</v>
      </c>
      <c r="C218" s="15" t="s">
        <v>391</v>
      </c>
      <c r="D218" s="15" t="s">
        <v>828</v>
      </c>
      <c r="E218" s="15" t="s">
        <v>860</v>
      </c>
      <c r="F218" s="15" t="s">
        <v>1387</v>
      </c>
      <c r="G218" s="15" t="s">
        <v>1388</v>
      </c>
      <c r="H218" s="15" t="s">
        <v>1389</v>
      </c>
      <c r="I218" s="15">
        <v>344</v>
      </c>
      <c r="J218" s="15"/>
      <c r="K218" s="15"/>
      <c r="L218" s="15" t="s">
        <v>1390</v>
      </c>
      <c r="M218" s="16" t="s">
        <v>2576</v>
      </c>
      <c r="N218" s="16" t="s">
        <v>2576</v>
      </c>
      <c r="O218" s="16" t="s">
        <v>2576</v>
      </c>
      <c r="P218" s="15">
        <v>143000</v>
      </c>
      <c r="Q218" s="15" t="s">
        <v>1391</v>
      </c>
      <c r="R218" s="24" t="s">
        <v>2935</v>
      </c>
    </row>
    <row r="219" spans="1:18" s="18" customFormat="1" ht="100.8" x14ac:dyDescent="0.3">
      <c r="A219" s="15" t="s">
        <v>1393</v>
      </c>
      <c r="B219" s="15" t="s">
        <v>390</v>
      </c>
      <c r="C219" s="15" t="s">
        <v>391</v>
      </c>
      <c r="D219" s="15" t="s">
        <v>828</v>
      </c>
      <c r="E219" s="15" t="s">
        <v>860</v>
      </c>
      <c r="F219" s="15" t="s">
        <v>1387</v>
      </c>
      <c r="G219" s="15" t="s">
        <v>1388</v>
      </c>
      <c r="H219" s="15" t="s">
        <v>1389</v>
      </c>
      <c r="I219" s="15">
        <v>334</v>
      </c>
      <c r="J219" s="15"/>
      <c r="K219" s="15"/>
      <c r="L219" s="15" t="s">
        <v>1394</v>
      </c>
      <c r="M219" s="16" t="s">
        <v>2576</v>
      </c>
      <c r="N219" s="16" t="s">
        <v>2576</v>
      </c>
      <c r="O219" s="17" t="str">
        <f>IF(NOT("https://maps.app.goo.gl/uLUMqwA51BwqkStM7" = ""), HYPERLINK("https://maps.app.goo.gl/uLUMqwA51BwqkStM7", "موقع"), "")</f>
        <v>موقع</v>
      </c>
      <c r="P219" s="15">
        <v>143000</v>
      </c>
      <c r="Q219" s="15" t="s">
        <v>1395</v>
      </c>
      <c r="R219" s="24" t="s">
        <v>2936</v>
      </c>
    </row>
    <row r="220" spans="1:18" s="18" customFormat="1" ht="100.8" x14ac:dyDescent="0.3">
      <c r="A220" s="15" t="s">
        <v>1396</v>
      </c>
      <c r="B220" s="15" t="s">
        <v>390</v>
      </c>
      <c r="C220" s="15" t="s">
        <v>391</v>
      </c>
      <c r="D220" s="15" t="s">
        <v>828</v>
      </c>
      <c r="E220" s="15" t="s">
        <v>860</v>
      </c>
      <c r="F220" s="15" t="s">
        <v>1387</v>
      </c>
      <c r="G220" s="15" t="s">
        <v>1388</v>
      </c>
      <c r="H220" s="15" t="s">
        <v>1389</v>
      </c>
      <c r="I220" s="15">
        <v>333</v>
      </c>
      <c r="J220" s="15">
        <v>0</v>
      </c>
      <c r="K220" s="15"/>
      <c r="L220" s="15" t="s">
        <v>1394</v>
      </c>
      <c r="M220" s="16" t="s">
        <v>2576</v>
      </c>
      <c r="N220" s="16" t="s">
        <v>2576</v>
      </c>
      <c r="O220" s="16" t="s">
        <v>2576</v>
      </c>
      <c r="P220" s="15">
        <v>143000</v>
      </c>
      <c r="Q220" s="15" t="s">
        <v>1395</v>
      </c>
      <c r="R220" s="24" t="s">
        <v>2937</v>
      </c>
    </row>
    <row r="221" spans="1:18" s="18" customFormat="1" ht="100.8" x14ac:dyDescent="0.3">
      <c r="A221" s="15" t="s">
        <v>1397</v>
      </c>
      <c r="B221" s="15" t="s">
        <v>390</v>
      </c>
      <c r="C221" s="15" t="s">
        <v>391</v>
      </c>
      <c r="D221" s="15" t="s">
        <v>828</v>
      </c>
      <c r="E221" s="15" t="s">
        <v>860</v>
      </c>
      <c r="F221" s="15" t="s">
        <v>1387</v>
      </c>
      <c r="G221" s="15" t="s">
        <v>1388</v>
      </c>
      <c r="H221" s="15" t="s">
        <v>1389</v>
      </c>
      <c r="I221" s="15">
        <v>337</v>
      </c>
      <c r="J221" s="15"/>
      <c r="K221" s="15"/>
      <c r="L221" s="15" t="s">
        <v>1390</v>
      </c>
      <c r="M221" s="16" t="s">
        <v>2576</v>
      </c>
      <c r="N221" s="16" t="s">
        <v>2576</v>
      </c>
      <c r="O221" s="16" t="s">
        <v>2576</v>
      </c>
      <c r="P221" s="15">
        <v>143000</v>
      </c>
      <c r="Q221" s="15" t="s">
        <v>1391</v>
      </c>
      <c r="R221" s="24" t="s">
        <v>2938</v>
      </c>
    </row>
    <row r="222" spans="1:18" s="18" customFormat="1" ht="100.8" x14ac:dyDescent="0.3">
      <c r="A222" s="15" t="s">
        <v>1398</v>
      </c>
      <c r="B222" s="15" t="s">
        <v>390</v>
      </c>
      <c r="C222" s="15" t="s">
        <v>391</v>
      </c>
      <c r="D222" s="15" t="s">
        <v>828</v>
      </c>
      <c r="E222" s="15" t="s">
        <v>860</v>
      </c>
      <c r="F222" s="15" t="s">
        <v>1387</v>
      </c>
      <c r="G222" s="15" t="s">
        <v>1388</v>
      </c>
      <c r="H222" s="15" t="s">
        <v>1389</v>
      </c>
      <c r="I222" s="15">
        <v>338</v>
      </c>
      <c r="J222" s="15"/>
      <c r="K222" s="15"/>
      <c r="L222" s="15" t="s">
        <v>1390</v>
      </c>
      <c r="M222" s="16" t="s">
        <v>2576</v>
      </c>
      <c r="N222" s="16" t="s">
        <v>2576</v>
      </c>
      <c r="O222" s="16" t="s">
        <v>2576</v>
      </c>
      <c r="P222" s="15">
        <v>143000</v>
      </c>
      <c r="Q222" s="15" t="s">
        <v>1399</v>
      </c>
      <c r="R222" s="24" t="s">
        <v>2939</v>
      </c>
    </row>
    <row r="223" spans="1:18" s="18" customFormat="1" ht="100.8" x14ac:dyDescent="0.3">
      <c r="A223" s="15" t="s">
        <v>1400</v>
      </c>
      <c r="B223" s="15" t="s">
        <v>390</v>
      </c>
      <c r="C223" s="15" t="s">
        <v>391</v>
      </c>
      <c r="D223" s="15" t="s">
        <v>828</v>
      </c>
      <c r="E223" s="15" t="s">
        <v>860</v>
      </c>
      <c r="F223" s="15" t="s">
        <v>1387</v>
      </c>
      <c r="G223" s="15" t="s">
        <v>1388</v>
      </c>
      <c r="H223" s="15" t="s">
        <v>1389</v>
      </c>
      <c r="I223" s="15">
        <v>341</v>
      </c>
      <c r="J223" s="15">
        <v>0</v>
      </c>
      <c r="K223" s="15"/>
      <c r="L223" s="15" t="s">
        <v>1401</v>
      </c>
      <c r="M223" s="16" t="s">
        <v>2576</v>
      </c>
      <c r="N223" s="16" t="s">
        <v>2576</v>
      </c>
      <c r="O223" s="16" t="s">
        <v>2576</v>
      </c>
      <c r="P223" s="15">
        <v>144000</v>
      </c>
      <c r="Q223" s="15" t="s">
        <v>1402</v>
      </c>
      <c r="R223" s="24" t="s">
        <v>2940</v>
      </c>
    </row>
    <row r="224" spans="1:18" s="18" customFormat="1" ht="100.8" x14ac:dyDescent="0.3">
      <c r="A224" s="15" t="s">
        <v>1403</v>
      </c>
      <c r="B224" s="15" t="s">
        <v>390</v>
      </c>
      <c r="C224" s="15" t="s">
        <v>391</v>
      </c>
      <c r="D224" s="15" t="s">
        <v>828</v>
      </c>
      <c r="E224" s="15" t="s">
        <v>860</v>
      </c>
      <c r="F224" s="15" t="s">
        <v>1387</v>
      </c>
      <c r="G224" s="15" t="s">
        <v>1388</v>
      </c>
      <c r="H224" s="15" t="s">
        <v>1389</v>
      </c>
      <c r="I224" s="15">
        <v>342</v>
      </c>
      <c r="J224" s="15">
        <v>0</v>
      </c>
      <c r="K224" s="15"/>
      <c r="L224" s="15" t="s">
        <v>1404</v>
      </c>
      <c r="M224" s="16" t="s">
        <v>2576</v>
      </c>
      <c r="N224" s="16" t="s">
        <v>2576</v>
      </c>
      <c r="O224" s="16" t="s">
        <v>2576</v>
      </c>
      <c r="P224" s="15">
        <v>144000</v>
      </c>
      <c r="Q224" s="15" t="s">
        <v>1405</v>
      </c>
      <c r="R224" s="24" t="s">
        <v>2941</v>
      </c>
    </row>
    <row r="225" spans="1:18" s="18" customFormat="1" ht="100.8" x14ac:dyDescent="0.3">
      <c r="A225" s="15" t="s">
        <v>1406</v>
      </c>
      <c r="B225" s="15" t="s">
        <v>390</v>
      </c>
      <c r="C225" s="15" t="s">
        <v>391</v>
      </c>
      <c r="D225" s="15" t="s">
        <v>828</v>
      </c>
      <c r="E225" s="15" t="s">
        <v>860</v>
      </c>
      <c r="F225" s="15" t="s">
        <v>1387</v>
      </c>
      <c r="G225" s="15" t="s">
        <v>1388</v>
      </c>
      <c r="H225" s="15" t="s">
        <v>1389</v>
      </c>
      <c r="I225" s="15">
        <v>330</v>
      </c>
      <c r="J225" s="15">
        <v>0</v>
      </c>
      <c r="K225" s="15"/>
      <c r="L225" s="15" t="s">
        <v>1394</v>
      </c>
      <c r="M225" s="16" t="s">
        <v>2576</v>
      </c>
      <c r="N225" s="16" t="s">
        <v>2576</v>
      </c>
      <c r="O225" s="16" t="s">
        <v>2576</v>
      </c>
      <c r="P225" s="15">
        <v>145000</v>
      </c>
      <c r="Q225" s="15" t="s">
        <v>1395</v>
      </c>
      <c r="R225" s="24" t="s">
        <v>2942</v>
      </c>
    </row>
    <row r="226" spans="1:18" s="18" customFormat="1" ht="100.8" x14ac:dyDescent="0.3">
      <c r="A226" s="15" t="s">
        <v>1407</v>
      </c>
      <c r="B226" s="15" t="s">
        <v>390</v>
      </c>
      <c r="C226" s="15" t="s">
        <v>391</v>
      </c>
      <c r="D226" s="15" t="s">
        <v>828</v>
      </c>
      <c r="E226" s="15" t="s">
        <v>860</v>
      </c>
      <c r="F226" s="15" t="s">
        <v>1387</v>
      </c>
      <c r="G226" s="15" t="s">
        <v>1388</v>
      </c>
      <c r="H226" s="15" t="s">
        <v>1389</v>
      </c>
      <c r="I226" s="15">
        <v>329</v>
      </c>
      <c r="J226" s="15"/>
      <c r="K226" s="15"/>
      <c r="L226" s="15" t="s">
        <v>1394</v>
      </c>
      <c r="M226" s="16" t="s">
        <v>2576</v>
      </c>
      <c r="N226" s="16" t="s">
        <v>2576</v>
      </c>
      <c r="O226" s="16" t="s">
        <v>2576</v>
      </c>
      <c r="P226" s="15">
        <v>148000</v>
      </c>
      <c r="Q226" s="15" t="s">
        <v>1408</v>
      </c>
      <c r="R226" s="24" t="s">
        <v>2943</v>
      </c>
    </row>
    <row r="227" spans="1:18" s="18" customFormat="1" ht="100.8" x14ac:dyDescent="0.3">
      <c r="A227" s="15" t="s">
        <v>1409</v>
      </c>
      <c r="B227" s="15" t="s">
        <v>390</v>
      </c>
      <c r="C227" s="15" t="s">
        <v>391</v>
      </c>
      <c r="D227" s="15" t="s">
        <v>828</v>
      </c>
      <c r="E227" s="15" t="s">
        <v>860</v>
      </c>
      <c r="F227" s="15" t="s">
        <v>1387</v>
      </c>
      <c r="G227" s="15" t="s">
        <v>1388</v>
      </c>
      <c r="H227" s="15" t="s">
        <v>1389</v>
      </c>
      <c r="I227" s="15">
        <v>339</v>
      </c>
      <c r="J227" s="15"/>
      <c r="K227" s="15"/>
      <c r="L227" s="15" t="s">
        <v>1394</v>
      </c>
      <c r="M227" s="16" t="s">
        <v>2576</v>
      </c>
      <c r="N227" s="16" t="s">
        <v>2576</v>
      </c>
      <c r="O227" s="16" t="s">
        <v>2576</v>
      </c>
      <c r="P227" s="15">
        <v>152000</v>
      </c>
      <c r="Q227" s="15" t="s">
        <v>1408</v>
      </c>
      <c r="R227" s="24" t="s">
        <v>2944</v>
      </c>
    </row>
    <row r="228" spans="1:18" s="18" customFormat="1" ht="100.8" x14ac:dyDescent="0.3">
      <c r="A228" s="15" t="s">
        <v>1410</v>
      </c>
      <c r="B228" s="15" t="s">
        <v>390</v>
      </c>
      <c r="C228" s="15" t="s">
        <v>391</v>
      </c>
      <c r="D228" s="15" t="s">
        <v>828</v>
      </c>
      <c r="E228" s="15" t="s">
        <v>860</v>
      </c>
      <c r="F228" s="15" t="s">
        <v>1387</v>
      </c>
      <c r="G228" s="15" t="s">
        <v>1388</v>
      </c>
      <c r="H228" s="15" t="s">
        <v>1389</v>
      </c>
      <c r="I228" s="15">
        <v>332</v>
      </c>
      <c r="J228" s="15"/>
      <c r="K228" s="15"/>
      <c r="L228" s="15" t="s">
        <v>1404</v>
      </c>
      <c r="M228" s="16" t="s">
        <v>2576</v>
      </c>
      <c r="N228" s="16" t="s">
        <v>2576</v>
      </c>
      <c r="O228" s="16" t="s">
        <v>2576</v>
      </c>
      <c r="P228" s="15">
        <v>152000</v>
      </c>
      <c r="Q228" s="15" t="s">
        <v>1405</v>
      </c>
      <c r="R228" s="24" t="s">
        <v>2945</v>
      </c>
    </row>
    <row r="229" spans="1:18" s="18" customFormat="1" ht="100.8" x14ac:dyDescent="0.3">
      <c r="A229" s="15" t="s">
        <v>1411</v>
      </c>
      <c r="B229" s="15" t="s">
        <v>390</v>
      </c>
      <c r="C229" s="15" t="s">
        <v>391</v>
      </c>
      <c r="D229" s="15" t="s">
        <v>828</v>
      </c>
      <c r="E229" s="15" t="s">
        <v>860</v>
      </c>
      <c r="F229" s="15" t="s">
        <v>1387</v>
      </c>
      <c r="G229" s="15" t="s">
        <v>1388</v>
      </c>
      <c r="H229" s="15" t="s">
        <v>1389</v>
      </c>
      <c r="I229" s="15">
        <v>335</v>
      </c>
      <c r="J229" s="15"/>
      <c r="K229" s="15"/>
      <c r="L229" s="15" t="s">
        <v>1390</v>
      </c>
      <c r="M229" s="16" t="s">
        <v>2576</v>
      </c>
      <c r="N229" s="16" t="s">
        <v>2576</v>
      </c>
      <c r="O229" s="16" t="s">
        <v>2576</v>
      </c>
      <c r="P229" s="15">
        <v>152000</v>
      </c>
      <c r="Q229" s="15" t="s">
        <v>1399</v>
      </c>
      <c r="R229" s="24" t="s">
        <v>2946</v>
      </c>
    </row>
    <row r="230" spans="1:18" s="18" customFormat="1" ht="100.8" x14ac:dyDescent="0.3">
      <c r="A230" s="15" t="s">
        <v>1412</v>
      </c>
      <c r="B230" s="15" t="s">
        <v>390</v>
      </c>
      <c r="C230" s="15" t="s">
        <v>391</v>
      </c>
      <c r="D230" s="15" t="s">
        <v>828</v>
      </c>
      <c r="E230" s="15" t="s">
        <v>860</v>
      </c>
      <c r="F230" s="15" t="s">
        <v>1387</v>
      </c>
      <c r="G230" s="15" t="s">
        <v>1388</v>
      </c>
      <c r="H230" s="15" t="s">
        <v>1389</v>
      </c>
      <c r="I230" s="15">
        <v>343</v>
      </c>
      <c r="J230" s="15"/>
      <c r="K230" s="15"/>
      <c r="L230" s="15" t="s">
        <v>1394</v>
      </c>
      <c r="M230" s="16" t="s">
        <v>2576</v>
      </c>
      <c r="N230" s="16" t="s">
        <v>2576</v>
      </c>
      <c r="O230" s="16" t="s">
        <v>2576</v>
      </c>
      <c r="P230" s="15">
        <v>152000</v>
      </c>
      <c r="Q230" s="15" t="s">
        <v>1395</v>
      </c>
      <c r="R230" s="24" t="s">
        <v>2947</v>
      </c>
    </row>
    <row r="231" spans="1:18" s="18" customFormat="1" ht="100.8" x14ac:dyDescent="0.3">
      <c r="A231" s="15" t="s">
        <v>1413</v>
      </c>
      <c r="B231" s="15" t="s">
        <v>390</v>
      </c>
      <c r="C231" s="15" t="s">
        <v>391</v>
      </c>
      <c r="D231" s="15" t="s">
        <v>828</v>
      </c>
      <c r="E231" s="15" t="s">
        <v>860</v>
      </c>
      <c r="F231" s="15" t="s">
        <v>1387</v>
      </c>
      <c r="G231" s="15" t="s">
        <v>1388</v>
      </c>
      <c r="H231" s="15" t="s">
        <v>1389</v>
      </c>
      <c r="I231" s="15">
        <v>347</v>
      </c>
      <c r="J231" s="15"/>
      <c r="K231" s="15"/>
      <c r="L231" s="15" t="s">
        <v>1414</v>
      </c>
      <c r="M231" s="16" t="s">
        <v>2576</v>
      </c>
      <c r="N231" s="16" t="s">
        <v>2576</v>
      </c>
      <c r="O231" s="16" t="s">
        <v>2576</v>
      </c>
      <c r="P231" s="15">
        <v>153000</v>
      </c>
      <c r="Q231" s="15" t="s">
        <v>1415</v>
      </c>
      <c r="R231" s="24" t="s">
        <v>2948</v>
      </c>
    </row>
    <row r="232" spans="1:18" s="18" customFormat="1" ht="100.8" x14ac:dyDescent="0.3">
      <c r="A232" s="15" t="s">
        <v>1416</v>
      </c>
      <c r="B232" s="15" t="s">
        <v>390</v>
      </c>
      <c r="C232" s="15" t="s">
        <v>391</v>
      </c>
      <c r="D232" s="15" t="s">
        <v>828</v>
      </c>
      <c r="E232" s="15" t="s">
        <v>974</v>
      </c>
      <c r="F232" s="15" t="s">
        <v>1192</v>
      </c>
      <c r="G232" s="15" t="s">
        <v>1417</v>
      </c>
      <c r="H232" s="15" t="s">
        <v>1194</v>
      </c>
      <c r="I232" s="15">
        <v>873</v>
      </c>
      <c r="J232" s="15"/>
      <c r="K232" s="15"/>
      <c r="L232" s="15" t="s">
        <v>793</v>
      </c>
      <c r="M232" s="16" t="s">
        <v>2576</v>
      </c>
      <c r="N232" s="16" t="s">
        <v>2576</v>
      </c>
      <c r="O232" s="16" t="s">
        <v>2576</v>
      </c>
      <c r="P232" s="15">
        <v>174000</v>
      </c>
      <c r="Q232" s="15" t="s">
        <v>1418</v>
      </c>
      <c r="R232" s="24" t="s">
        <v>2949</v>
      </c>
    </row>
    <row r="233" spans="1:18" s="18" customFormat="1" ht="100.8" x14ac:dyDescent="0.3">
      <c r="A233" s="15" t="s">
        <v>1419</v>
      </c>
      <c r="B233" s="15" t="s">
        <v>390</v>
      </c>
      <c r="C233" s="15" t="s">
        <v>391</v>
      </c>
      <c r="D233" s="15" t="s">
        <v>828</v>
      </c>
      <c r="E233" s="15" t="s">
        <v>1148</v>
      </c>
      <c r="F233" s="15" t="s">
        <v>1149</v>
      </c>
      <c r="G233" s="15" t="s">
        <v>1420</v>
      </c>
      <c r="H233" s="15" t="s">
        <v>1421</v>
      </c>
      <c r="I233" s="15">
        <v>381</v>
      </c>
      <c r="J233" s="15"/>
      <c r="K233" s="15"/>
      <c r="L233" s="15" t="s">
        <v>1422</v>
      </c>
      <c r="M233" s="16" t="s">
        <v>2576</v>
      </c>
      <c r="N233" s="16" t="s">
        <v>2576</v>
      </c>
      <c r="O233" s="16" t="s">
        <v>2576</v>
      </c>
      <c r="P233" s="15">
        <v>819000</v>
      </c>
      <c r="Q233" s="15" t="s">
        <v>1423</v>
      </c>
      <c r="R233" s="24" t="s">
        <v>2950</v>
      </c>
    </row>
    <row r="234" spans="1:18" s="18" customFormat="1" ht="285.60000000000002" x14ac:dyDescent="0.3">
      <c r="A234" s="15" t="s">
        <v>1267</v>
      </c>
      <c r="B234" s="15" t="s">
        <v>262</v>
      </c>
      <c r="C234" s="15" t="s">
        <v>263</v>
      </c>
      <c r="D234" s="15" t="s">
        <v>828</v>
      </c>
      <c r="E234" s="15" t="s">
        <v>1122</v>
      </c>
      <c r="F234" s="15" t="s">
        <v>1123</v>
      </c>
      <c r="G234" s="15" t="s">
        <v>1268</v>
      </c>
      <c r="H234" s="15" t="s">
        <v>1125</v>
      </c>
      <c r="I234" s="15">
        <v>83</v>
      </c>
      <c r="J234" s="15">
        <v>0</v>
      </c>
      <c r="K234" s="15"/>
      <c r="L234" s="15" t="s">
        <v>1269</v>
      </c>
      <c r="M234" s="16" t="s">
        <v>2576</v>
      </c>
      <c r="N234" s="17" t="str">
        <f>IF(NOT("https://truemarkets3d.net/3d-virtual-tour/housingbank-realestate/phase3/aq-bld-100596/index.html" = ""), HYPERLINK("https://truemarkets3d.net/3d-virtual-tour/housingbank-realestate/phase3/aq-bld-100596/index.html", "جولة"), "")</f>
        <v>جولة</v>
      </c>
      <c r="O234" s="17" t="str">
        <f>IF(NOT("https://maps.app.goo.gl/ut7kx4iH4qQcehx6A" = ""), HYPERLINK("https://maps.app.goo.gl/ut7kx4iH4qQcehx6A", "موقع"), "")</f>
        <v>موقع</v>
      </c>
      <c r="P234" s="15">
        <v>633000</v>
      </c>
      <c r="Q234" s="15" t="s">
        <v>1270</v>
      </c>
      <c r="R234" s="24" t="s">
        <v>2897</v>
      </c>
    </row>
    <row r="235" spans="1:18" s="18" customFormat="1" ht="151.19999999999999" x14ac:dyDescent="0.3">
      <c r="A235" s="15" t="s">
        <v>1271</v>
      </c>
      <c r="B235" s="15" t="s">
        <v>262</v>
      </c>
      <c r="C235" s="15" t="s">
        <v>281</v>
      </c>
      <c r="D235" s="15" t="s">
        <v>828</v>
      </c>
      <c r="E235" s="15" t="s">
        <v>829</v>
      </c>
      <c r="F235" s="15" t="s">
        <v>830</v>
      </c>
      <c r="G235" s="15" t="s">
        <v>847</v>
      </c>
      <c r="H235" s="15" t="s">
        <v>1272</v>
      </c>
      <c r="I235" s="15">
        <v>318</v>
      </c>
      <c r="J235" s="15">
        <v>0</v>
      </c>
      <c r="K235" s="15"/>
      <c r="L235" s="15" t="s">
        <v>1197</v>
      </c>
      <c r="M235" s="16" t="s">
        <v>2576</v>
      </c>
      <c r="N235" s="16" t="s">
        <v>2576</v>
      </c>
      <c r="O235" s="17" t="str">
        <f>IF(NOT("https://maps.app.goo.gl/qJ2N4seNzMWjiszC6" = ""), HYPERLINK("https://maps.app.goo.gl/qJ2N4seNzMWjiszC6", "موقع"), "")</f>
        <v>موقع</v>
      </c>
      <c r="P235" s="15">
        <v>18000</v>
      </c>
      <c r="Q235" s="15" t="s">
        <v>1273</v>
      </c>
      <c r="R235" s="24" t="s">
        <v>2898</v>
      </c>
    </row>
    <row r="236" spans="1:18" s="18" customFormat="1" ht="67.2" x14ac:dyDescent="0.3">
      <c r="A236" s="15" t="s">
        <v>1274</v>
      </c>
      <c r="B236" s="15" t="s">
        <v>262</v>
      </c>
      <c r="C236" s="15" t="s">
        <v>281</v>
      </c>
      <c r="D236" s="15" t="s">
        <v>828</v>
      </c>
      <c r="E236" s="15" t="s">
        <v>880</v>
      </c>
      <c r="F236" s="15" t="s">
        <v>944</v>
      </c>
      <c r="G236" s="15" t="s">
        <v>1275</v>
      </c>
      <c r="H236" s="15" t="s">
        <v>883</v>
      </c>
      <c r="I236" s="15">
        <v>713</v>
      </c>
      <c r="J236" s="15">
        <v>0</v>
      </c>
      <c r="K236" s="15"/>
      <c r="L236" s="15" t="s">
        <v>1276</v>
      </c>
      <c r="M236" s="16" t="s">
        <v>2576</v>
      </c>
      <c r="N236" s="16" t="s">
        <v>2576</v>
      </c>
      <c r="O236" s="16" t="s">
        <v>2576</v>
      </c>
      <c r="P236" s="15">
        <v>18000</v>
      </c>
      <c r="Q236" s="15" t="s">
        <v>1277</v>
      </c>
      <c r="R236" s="24" t="s">
        <v>2899</v>
      </c>
    </row>
    <row r="237" spans="1:18" s="18" customFormat="1" ht="117.6" x14ac:dyDescent="0.3">
      <c r="A237" s="15" t="s">
        <v>1278</v>
      </c>
      <c r="B237" s="15" t="s">
        <v>262</v>
      </c>
      <c r="C237" s="15" t="s">
        <v>281</v>
      </c>
      <c r="D237" s="15" t="s">
        <v>828</v>
      </c>
      <c r="E237" s="15" t="s">
        <v>874</v>
      </c>
      <c r="F237" s="15" t="s">
        <v>875</v>
      </c>
      <c r="G237" s="15" t="s">
        <v>954</v>
      </c>
      <c r="H237" s="15" t="s">
        <v>877</v>
      </c>
      <c r="I237" s="15">
        <v>1652</v>
      </c>
      <c r="J237" s="15">
        <v>0</v>
      </c>
      <c r="K237" s="15"/>
      <c r="L237" s="15" t="s">
        <v>1279</v>
      </c>
      <c r="M237" s="16" t="s">
        <v>2576</v>
      </c>
      <c r="N237" s="16" t="s">
        <v>2576</v>
      </c>
      <c r="O237" s="17" t="str">
        <f>IF(NOT("https://maps.app.goo.gl/g8BmRrkiQN7cGfYK9" = ""), HYPERLINK("https://maps.app.goo.gl/g8BmRrkiQN7cGfYK9", "موقع"), "")</f>
        <v>موقع</v>
      </c>
      <c r="P237" s="15">
        <v>41000</v>
      </c>
      <c r="Q237" s="15" t="s">
        <v>1280</v>
      </c>
      <c r="R237" s="24" t="s">
        <v>2900</v>
      </c>
    </row>
    <row r="238" spans="1:18" s="18" customFormat="1" ht="100.8" x14ac:dyDescent="0.3">
      <c r="A238" s="15" t="s">
        <v>1281</v>
      </c>
      <c r="B238" s="15" t="s">
        <v>262</v>
      </c>
      <c r="C238" s="15" t="s">
        <v>281</v>
      </c>
      <c r="D238" s="15" t="s">
        <v>828</v>
      </c>
      <c r="E238" s="15" t="s">
        <v>874</v>
      </c>
      <c r="F238" s="15" t="s">
        <v>875</v>
      </c>
      <c r="G238" s="15" t="s">
        <v>901</v>
      </c>
      <c r="H238" s="15" t="s">
        <v>1119</v>
      </c>
      <c r="I238" s="15">
        <v>2070</v>
      </c>
      <c r="J238" s="15">
        <v>0</v>
      </c>
      <c r="K238" s="15"/>
      <c r="L238" s="15" t="s">
        <v>1282</v>
      </c>
      <c r="M238" s="16" t="s">
        <v>2576</v>
      </c>
      <c r="N238" s="16" t="s">
        <v>2576</v>
      </c>
      <c r="O238" s="16" t="s">
        <v>2576</v>
      </c>
      <c r="P238" s="15">
        <v>45000</v>
      </c>
      <c r="Q238" s="15" t="s">
        <v>1283</v>
      </c>
      <c r="R238" s="24" t="s">
        <v>2901</v>
      </c>
    </row>
    <row r="239" spans="1:18" s="18" customFormat="1" ht="168" x14ac:dyDescent="0.3">
      <c r="A239" s="15" t="s">
        <v>1284</v>
      </c>
      <c r="B239" s="15" t="s">
        <v>262</v>
      </c>
      <c r="C239" s="15" t="s">
        <v>281</v>
      </c>
      <c r="D239" s="15" t="s">
        <v>828</v>
      </c>
      <c r="E239" s="15" t="s">
        <v>874</v>
      </c>
      <c r="F239" s="15" t="s">
        <v>1285</v>
      </c>
      <c r="G239" s="15" t="s">
        <v>1286</v>
      </c>
      <c r="H239" s="15" t="s">
        <v>1287</v>
      </c>
      <c r="I239" s="15">
        <v>1260</v>
      </c>
      <c r="J239" s="15">
        <v>0</v>
      </c>
      <c r="K239" s="15"/>
      <c r="L239" s="15" t="s">
        <v>1288</v>
      </c>
      <c r="M239" s="16" t="s">
        <v>2576</v>
      </c>
      <c r="N239" s="17" t="str">
        <f>IF(NOT("https://truemarkets3d.net/3d-virtual-tour/housingbank-realestate/phase3/aq-bld-100472/index.html" = ""), HYPERLINK("https://truemarkets3d.net/3d-virtual-tour/housingbank-realestate/phase3/aq-bld-100472/index.html", "جولة"), "")</f>
        <v>جولة</v>
      </c>
      <c r="O239" s="17" t="str">
        <f>IF(NOT("https://maps.app.goo.gl/kCTXZ2VJm3L2ca5e7" = ""), HYPERLINK("https://maps.app.goo.gl/kCTXZ2VJm3L2ca5e7", "موقع"), "")</f>
        <v>موقع</v>
      </c>
      <c r="P239" s="15">
        <v>88000</v>
      </c>
      <c r="Q239" s="15" t="s">
        <v>1289</v>
      </c>
      <c r="R239" s="24" t="s">
        <v>2902</v>
      </c>
    </row>
    <row r="240" spans="1:18" s="18" customFormat="1" ht="168" x14ac:dyDescent="0.3">
      <c r="A240" s="15" t="s">
        <v>1290</v>
      </c>
      <c r="B240" s="15" t="s">
        <v>262</v>
      </c>
      <c r="C240" s="15" t="s">
        <v>281</v>
      </c>
      <c r="D240" s="15" t="s">
        <v>828</v>
      </c>
      <c r="E240" s="15" t="s">
        <v>974</v>
      </c>
      <c r="F240" s="15" t="s">
        <v>1108</v>
      </c>
      <c r="G240" s="15" t="s">
        <v>1291</v>
      </c>
      <c r="H240" s="15" t="s">
        <v>1292</v>
      </c>
      <c r="I240" s="15">
        <v>619</v>
      </c>
      <c r="J240" s="15">
        <v>0</v>
      </c>
      <c r="K240" s="15"/>
      <c r="L240" s="15" t="s">
        <v>1293</v>
      </c>
      <c r="M240" s="16" t="s">
        <v>2576</v>
      </c>
      <c r="N240" s="16" t="s">
        <v>2576</v>
      </c>
      <c r="O240" s="17" t="str">
        <f>IF(NOT("https://maps.app.goo.gl/WFoG8B9wx1pYCBYw8" = ""), HYPERLINK("https://maps.app.goo.gl/WFoG8B9wx1pYCBYw8", "موقع"), "")</f>
        <v>موقع</v>
      </c>
      <c r="P240" s="15">
        <v>88000</v>
      </c>
      <c r="Q240" s="15" t="s">
        <v>1294</v>
      </c>
      <c r="R240" s="24" t="s">
        <v>2903</v>
      </c>
    </row>
    <row r="241" spans="1:18" s="18" customFormat="1" ht="184.8" x14ac:dyDescent="0.3">
      <c r="A241" s="15" t="s">
        <v>1295</v>
      </c>
      <c r="B241" s="15" t="s">
        <v>262</v>
      </c>
      <c r="C241" s="15" t="s">
        <v>281</v>
      </c>
      <c r="D241" s="15" t="s">
        <v>828</v>
      </c>
      <c r="E241" s="15" t="s">
        <v>880</v>
      </c>
      <c r="F241" s="15" t="s">
        <v>1296</v>
      </c>
      <c r="G241" s="15" t="s">
        <v>1297</v>
      </c>
      <c r="H241" s="15" t="s">
        <v>883</v>
      </c>
      <c r="I241" s="15">
        <v>102</v>
      </c>
      <c r="J241" s="15">
        <v>0</v>
      </c>
      <c r="K241" s="15"/>
      <c r="L241" s="15" t="s">
        <v>1298</v>
      </c>
      <c r="M241" s="16" t="s">
        <v>2576</v>
      </c>
      <c r="N241" s="16" t="s">
        <v>2576</v>
      </c>
      <c r="O241" s="17" t="str">
        <f>IF(NOT("https://maps.app.goo.gl/coieZUwdi4zRHJkZ8" = ""), HYPERLINK("https://maps.app.goo.gl/coieZUwdi4zRHJkZ8", "موقع"), "")</f>
        <v>موقع</v>
      </c>
      <c r="P241" s="15">
        <v>100000</v>
      </c>
      <c r="Q241" s="15" t="s">
        <v>1299</v>
      </c>
      <c r="R241" s="24" t="s">
        <v>2904</v>
      </c>
    </row>
    <row r="242" spans="1:18" s="18" customFormat="1" ht="67.2" x14ac:dyDescent="0.3">
      <c r="A242" s="15" t="s">
        <v>1300</v>
      </c>
      <c r="B242" s="15" t="s">
        <v>262</v>
      </c>
      <c r="C242" s="15" t="s">
        <v>281</v>
      </c>
      <c r="D242" s="15" t="s">
        <v>828</v>
      </c>
      <c r="E242" s="15" t="s">
        <v>860</v>
      </c>
      <c r="F242" s="15" t="s">
        <v>861</v>
      </c>
      <c r="G242" s="15" t="s">
        <v>1145</v>
      </c>
      <c r="H242" s="15" t="s">
        <v>870</v>
      </c>
      <c r="I242" s="15">
        <v>1178</v>
      </c>
      <c r="J242" s="15">
        <v>0</v>
      </c>
      <c r="K242" s="15"/>
      <c r="L242" s="15" t="s">
        <v>793</v>
      </c>
      <c r="M242" s="16" t="s">
        <v>2576</v>
      </c>
      <c r="N242" s="16" t="s">
        <v>2576</v>
      </c>
      <c r="O242" s="17" t="str">
        <f>IF(NOT("https://maps.app.goo.gl/WvAi5SX7Mp81g2B66" = ""), HYPERLINK("https://maps.app.goo.gl/WvAi5SX7Mp81g2B66", "موقع"), "")</f>
        <v>موقع</v>
      </c>
      <c r="P242" s="15">
        <v>106000</v>
      </c>
      <c r="Q242" s="15" t="s">
        <v>1301</v>
      </c>
      <c r="R242" s="24" t="s">
        <v>2905</v>
      </c>
    </row>
    <row r="243" spans="1:18" s="18" customFormat="1" ht="67.2" x14ac:dyDescent="0.3">
      <c r="A243" s="15" t="s">
        <v>1302</v>
      </c>
      <c r="B243" s="15" t="s">
        <v>262</v>
      </c>
      <c r="C243" s="15" t="s">
        <v>281</v>
      </c>
      <c r="D243" s="15" t="s">
        <v>828</v>
      </c>
      <c r="E243" s="15" t="s">
        <v>860</v>
      </c>
      <c r="F243" s="15" t="s">
        <v>1303</v>
      </c>
      <c r="G243" s="15" t="s">
        <v>1304</v>
      </c>
      <c r="H243" s="15" t="s">
        <v>1305</v>
      </c>
      <c r="I243" s="15">
        <v>754</v>
      </c>
      <c r="J243" s="15">
        <v>0</v>
      </c>
      <c r="K243" s="15"/>
      <c r="L243" s="15" t="s">
        <v>1306</v>
      </c>
      <c r="M243" s="16" t="s">
        <v>2576</v>
      </c>
      <c r="N243" s="16" t="s">
        <v>2576</v>
      </c>
      <c r="O243" s="16" t="s">
        <v>2576</v>
      </c>
      <c r="P243" s="15">
        <v>133000</v>
      </c>
      <c r="Q243" s="15" t="s">
        <v>1307</v>
      </c>
      <c r="R243" s="24" t="s">
        <v>2906</v>
      </c>
    </row>
    <row r="244" spans="1:18" s="18" customFormat="1" ht="117.6" x14ac:dyDescent="0.3">
      <c r="A244" s="15" t="s">
        <v>1308</v>
      </c>
      <c r="B244" s="15" t="s">
        <v>262</v>
      </c>
      <c r="C244" s="15" t="s">
        <v>281</v>
      </c>
      <c r="D244" s="15" t="s">
        <v>828</v>
      </c>
      <c r="E244" s="15" t="s">
        <v>860</v>
      </c>
      <c r="F244" s="15" t="s">
        <v>1035</v>
      </c>
      <c r="G244" s="15" t="s">
        <v>1036</v>
      </c>
      <c r="H244" s="15" t="s">
        <v>1037</v>
      </c>
      <c r="I244" s="15">
        <v>1174</v>
      </c>
      <c r="J244" s="15">
        <v>0</v>
      </c>
      <c r="K244" s="15"/>
      <c r="L244" s="15" t="s">
        <v>1309</v>
      </c>
      <c r="M244" s="16" t="s">
        <v>2576</v>
      </c>
      <c r="N244" s="16" t="s">
        <v>2576</v>
      </c>
      <c r="O244" s="17" t="str">
        <f>IF(NOT("https://maps.app.goo.gl/tWyaDoSy31YBob8g6" = ""), HYPERLINK("https://maps.app.goo.gl/tWyaDoSy31YBob8g6", "موقع"), "")</f>
        <v>موقع</v>
      </c>
      <c r="P244" s="15">
        <v>169000</v>
      </c>
      <c r="Q244" s="15" t="s">
        <v>1310</v>
      </c>
      <c r="R244" s="24" t="s">
        <v>2907</v>
      </c>
    </row>
    <row r="245" spans="1:18" s="18" customFormat="1" ht="184.8" x14ac:dyDescent="0.3">
      <c r="A245" s="15" t="s">
        <v>1311</v>
      </c>
      <c r="B245" s="15" t="s">
        <v>262</v>
      </c>
      <c r="C245" s="15" t="s">
        <v>281</v>
      </c>
      <c r="D245" s="15" t="s">
        <v>828</v>
      </c>
      <c r="E245" s="15" t="s">
        <v>860</v>
      </c>
      <c r="F245" s="15" t="s">
        <v>1312</v>
      </c>
      <c r="G245" s="15" t="s">
        <v>1313</v>
      </c>
      <c r="H245" s="15" t="s">
        <v>1314</v>
      </c>
      <c r="I245" s="15">
        <v>153</v>
      </c>
      <c r="J245" s="15">
        <v>0</v>
      </c>
      <c r="K245" s="15"/>
      <c r="L245" s="15" t="s">
        <v>1315</v>
      </c>
      <c r="M245" s="16" t="s">
        <v>2576</v>
      </c>
      <c r="N245" s="16" t="s">
        <v>2576</v>
      </c>
      <c r="O245" s="17" t="str">
        <f>IF(NOT("https://maps.app.goo.gl/BCCkCtzLbmBDR2Hv8" = ""), HYPERLINK("https://maps.app.goo.gl/BCCkCtzLbmBDR2Hv8", "موقع"), "")</f>
        <v>موقع</v>
      </c>
      <c r="P245" s="15">
        <v>238000</v>
      </c>
      <c r="Q245" s="15" t="s">
        <v>1316</v>
      </c>
      <c r="R245" s="24" t="s">
        <v>2908</v>
      </c>
    </row>
    <row r="246" spans="1:18" s="18" customFormat="1" ht="168" x14ac:dyDescent="0.3">
      <c r="A246" s="15" t="s">
        <v>1317</v>
      </c>
      <c r="B246" s="15" t="s">
        <v>262</v>
      </c>
      <c r="C246" s="15" t="s">
        <v>281</v>
      </c>
      <c r="D246" s="15" t="s">
        <v>828</v>
      </c>
      <c r="E246" s="15" t="s">
        <v>860</v>
      </c>
      <c r="F246" s="15" t="s">
        <v>1312</v>
      </c>
      <c r="G246" s="15" t="s">
        <v>1318</v>
      </c>
      <c r="H246" s="15" t="s">
        <v>1314</v>
      </c>
      <c r="I246" s="15">
        <v>246</v>
      </c>
      <c r="J246" s="15">
        <v>0</v>
      </c>
      <c r="K246" s="15"/>
      <c r="L246" s="15" t="s">
        <v>1319</v>
      </c>
      <c r="M246" s="16" t="s">
        <v>2576</v>
      </c>
      <c r="N246" s="16" t="s">
        <v>2576</v>
      </c>
      <c r="O246" s="17" t="str">
        <f>IF(NOT("https://maps.app.goo.gl/BnLEFw21ewgdNhkTA" = ""), HYPERLINK("https://maps.app.goo.gl/BnLEFw21ewgdNhkTA", "موقع"), "")</f>
        <v>موقع</v>
      </c>
      <c r="P246" s="15">
        <v>250000</v>
      </c>
      <c r="Q246" s="15" t="s">
        <v>1320</v>
      </c>
      <c r="R246" s="24" t="s">
        <v>2909</v>
      </c>
    </row>
    <row r="247" spans="1:18" s="18" customFormat="1" ht="100.8" x14ac:dyDescent="0.3">
      <c r="A247" s="15" t="s">
        <v>826</v>
      </c>
      <c r="B247" s="15" t="s">
        <v>20</v>
      </c>
      <c r="C247" s="15" t="s">
        <v>827</v>
      </c>
      <c r="D247" s="15" t="s">
        <v>828</v>
      </c>
      <c r="E247" s="15" t="s">
        <v>829</v>
      </c>
      <c r="F247" s="15" t="s">
        <v>830</v>
      </c>
      <c r="G247" s="15" t="s">
        <v>831</v>
      </c>
      <c r="H247" s="15" t="s">
        <v>832</v>
      </c>
      <c r="I247" s="15">
        <v>1580</v>
      </c>
      <c r="J247" s="15">
        <v>-1027</v>
      </c>
      <c r="K247" s="15" t="s">
        <v>27</v>
      </c>
      <c r="L247" s="15" t="s">
        <v>833</v>
      </c>
      <c r="M247" s="16" t="s">
        <v>2576</v>
      </c>
      <c r="N247" s="16" t="s">
        <v>2576</v>
      </c>
      <c r="O247" s="17" t="str">
        <f>IF(NOT("https://maps.app.goo.gl/GNPJvfncnCM8V7ZDA" = ""), HYPERLINK("https://maps.app.goo.gl/GNPJvfncnCM8V7ZDA", "موقع"), "")</f>
        <v>موقع</v>
      </c>
      <c r="P247" s="15">
        <v>8000</v>
      </c>
      <c r="Q247" s="15" t="s">
        <v>834</v>
      </c>
      <c r="R247" s="24" t="s">
        <v>2767</v>
      </c>
    </row>
    <row r="248" spans="1:18" s="18" customFormat="1" ht="100.8" x14ac:dyDescent="0.3">
      <c r="A248" s="15" t="s">
        <v>835</v>
      </c>
      <c r="B248" s="15" t="s">
        <v>20</v>
      </c>
      <c r="C248" s="15" t="s">
        <v>827</v>
      </c>
      <c r="D248" s="15" t="s">
        <v>828</v>
      </c>
      <c r="E248" s="15" t="s">
        <v>829</v>
      </c>
      <c r="F248" s="15" t="s">
        <v>830</v>
      </c>
      <c r="G248" s="15" t="s">
        <v>831</v>
      </c>
      <c r="H248" s="15" t="s">
        <v>832</v>
      </c>
      <c r="I248" s="15">
        <v>1580</v>
      </c>
      <c r="J248" s="15">
        <v>-1020</v>
      </c>
      <c r="K248" s="15" t="s">
        <v>27</v>
      </c>
      <c r="L248" s="15" t="s">
        <v>836</v>
      </c>
      <c r="M248" s="16" t="s">
        <v>2576</v>
      </c>
      <c r="N248" s="16" t="s">
        <v>2576</v>
      </c>
      <c r="O248" s="17" t="str">
        <f>IF(NOT("https://maps.app.goo.gl/GNPJvfncnCM8V7ZDA" = ""), HYPERLINK("https://maps.app.goo.gl/GNPJvfncnCM8V7ZDA", "موقع"), "")</f>
        <v>موقع</v>
      </c>
      <c r="P248" s="15">
        <v>21000</v>
      </c>
      <c r="Q248" s="15" t="s">
        <v>837</v>
      </c>
      <c r="R248" s="24" t="s">
        <v>2768</v>
      </c>
    </row>
    <row r="249" spans="1:18" s="18" customFormat="1" ht="100.8" x14ac:dyDescent="0.3">
      <c r="A249" s="15" t="s">
        <v>838</v>
      </c>
      <c r="B249" s="15" t="s">
        <v>20</v>
      </c>
      <c r="C249" s="15" t="s">
        <v>827</v>
      </c>
      <c r="D249" s="15" t="s">
        <v>828</v>
      </c>
      <c r="E249" s="15" t="s">
        <v>829</v>
      </c>
      <c r="F249" s="15" t="s">
        <v>830</v>
      </c>
      <c r="G249" s="15" t="s">
        <v>831</v>
      </c>
      <c r="H249" s="15" t="s">
        <v>832</v>
      </c>
      <c r="I249" s="15">
        <v>1580</v>
      </c>
      <c r="J249" s="15">
        <v>-1021</v>
      </c>
      <c r="K249" s="15" t="s">
        <v>27</v>
      </c>
      <c r="L249" s="15" t="s">
        <v>839</v>
      </c>
      <c r="M249" s="16" t="s">
        <v>2576</v>
      </c>
      <c r="N249" s="16" t="s">
        <v>2576</v>
      </c>
      <c r="O249" s="17" t="str">
        <f>IF(NOT("https://maps.app.goo.gl/PmwE1hpK62FCGpay8" = ""), HYPERLINK("https://maps.app.goo.gl/PmwE1hpK62FCGpay8", "موقع"), "")</f>
        <v>موقع</v>
      </c>
      <c r="P249" s="15">
        <v>23000</v>
      </c>
      <c r="Q249" s="15" t="s">
        <v>840</v>
      </c>
      <c r="R249" s="24" t="s">
        <v>2769</v>
      </c>
    </row>
    <row r="250" spans="1:18" s="18" customFormat="1" ht="50.4" x14ac:dyDescent="0.3">
      <c r="A250" s="15" t="s">
        <v>841</v>
      </c>
      <c r="B250" s="15" t="s">
        <v>20</v>
      </c>
      <c r="C250" s="15" t="s">
        <v>827</v>
      </c>
      <c r="D250" s="15" t="s">
        <v>828</v>
      </c>
      <c r="E250" s="15" t="s">
        <v>829</v>
      </c>
      <c r="F250" s="15" t="s">
        <v>830</v>
      </c>
      <c r="G250" s="15" t="s">
        <v>831</v>
      </c>
      <c r="H250" s="15" t="s">
        <v>832</v>
      </c>
      <c r="I250" s="15">
        <v>1580</v>
      </c>
      <c r="J250" s="15">
        <v>-1013</v>
      </c>
      <c r="K250" s="15" t="s">
        <v>27</v>
      </c>
      <c r="L250" s="15" t="s">
        <v>842</v>
      </c>
      <c r="M250" s="16" t="s">
        <v>2576</v>
      </c>
      <c r="N250" s="16" t="s">
        <v>2576</v>
      </c>
      <c r="O250" s="17" t="str">
        <f>IF(NOT("https://maps.app.goo.gl/GNPJvfncnCM8V7ZDA" = ""), HYPERLINK("https://maps.app.goo.gl/GNPJvfncnCM8V7ZDA", "موقع"), "")</f>
        <v>موقع</v>
      </c>
      <c r="P250" s="15">
        <v>27000</v>
      </c>
      <c r="Q250" s="15" t="s">
        <v>843</v>
      </c>
      <c r="R250" s="24" t="s">
        <v>2770</v>
      </c>
    </row>
    <row r="251" spans="1:18" s="18" customFormat="1" ht="50.4" x14ac:dyDescent="0.3">
      <c r="A251" s="15" t="s">
        <v>844</v>
      </c>
      <c r="B251" s="15" t="s">
        <v>20</v>
      </c>
      <c r="C251" s="15" t="s">
        <v>827</v>
      </c>
      <c r="D251" s="15" t="s">
        <v>828</v>
      </c>
      <c r="E251" s="15" t="s">
        <v>829</v>
      </c>
      <c r="F251" s="15" t="s">
        <v>830</v>
      </c>
      <c r="G251" s="15" t="s">
        <v>831</v>
      </c>
      <c r="H251" s="15" t="s">
        <v>832</v>
      </c>
      <c r="I251" s="15">
        <v>1580</v>
      </c>
      <c r="J251" s="15">
        <v>-1012</v>
      </c>
      <c r="K251" s="15" t="s">
        <v>27</v>
      </c>
      <c r="L251" s="15" t="s">
        <v>38</v>
      </c>
      <c r="M251" s="16" t="s">
        <v>2576</v>
      </c>
      <c r="N251" s="16" t="s">
        <v>2576</v>
      </c>
      <c r="O251" s="17" t="str">
        <f>IF(NOT("https://maps.app.goo.gl/GNPJvfncnCM8V7ZDA" = ""), HYPERLINK("https://maps.app.goo.gl/GNPJvfncnCM8V7ZDA", "موقع"), "")</f>
        <v>موقع</v>
      </c>
      <c r="P251" s="15">
        <v>28000</v>
      </c>
      <c r="Q251" s="15" t="s">
        <v>845</v>
      </c>
      <c r="R251" s="24" t="s">
        <v>2771</v>
      </c>
    </row>
    <row r="252" spans="1:18" s="18" customFormat="1" ht="218.4" x14ac:dyDescent="0.3">
      <c r="A252" s="15" t="s">
        <v>846</v>
      </c>
      <c r="B252" s="15" t="s">
        <v>20</v>
      </c>
      <c r="C252" s="15" t="s">
        <v>21</v>
      </c>
      <c r="D252" s="15" t="s">
        <v>828</v>
      </c>
      <c r="E252" s="15" t="s">
        <v>829</v>
      </c>
      <c r="F252" s="15" t="s">
        <v>830</v>
      </c>
      <c r="G252" s="15" t="s">
        <v>847</v>
      </c>
      <c r="H252" s="15" t="s">
        <v>848</v>
      </c>
      <c r="I252" s="15">
        <v>281</v>
      </c>
      <c r="J252" s="15">
        <v>103</v>
      </c>
      <c r="K252" s="15" t="s">
        <v>41</v>
      </c>
      <c r="L252" s="15" t="s">
        <v>849</v>
      </c>
      <c r="M252" s="16" t="s">
        <v>2576</v>
      </c>
      <c r="N252" s="16" t="s">
        <v>2576</v>
      </c>
      <c r="O252" s="17" t="str">
        <f>IF(NOT("https://maps.app.goo.gl/9oqv8F4tu54M7ChF6" = ""), HYPERLINK("https://maps.app.goo.gl/9oqv8F4tu54M7ChF6", "موقع"), "")</f>
        <v>موقع</v>
      </c>
      <c r="P252" s="15">
        <v>13000</v>
      </c>
      <c r="Q252" s="15" t="s">
        <v>850</v>
      </c>
      <c r="R252" s="24" t="s">
        <v>2772</v>
      </c>
    </row>
    <row r="253" spans="1:18" s="18" customFormat="1" ht="218.4" x14ac:dyDescent="0.3">
      <c r="A253" s="15" t="s">
        <v>851</v>
      </c>
      <c r="B253" s="15" t="s">
        <v>20</v>
      </c>
      <c r="C253" s="15" t="s">
        <v>21</v>
      </c>
      <c r="D253" s="15" t="s">
        <v>828</v>
      </c>
      <c r="E253" s="15" t="s">
        <v>829</v>
      </c>
      <c r="F253" s="15" t="s">
        <v>830</v>
      </c>
      <c r="G253" s="15" t="s">
        <v>831</v>
      </c>
      <c r="H253" s="15" t="s">
        <v>832</v>
      </c>
      <c r="I253" s="15">
        <v>1580</v>
      </c>
      <c r="J253" s="15">
        <v>-1022</v>
      </c>
      <c r="K253" s="15" t="s">
        <v>27</v>
      </c>
      <c r="L253" s="15" t="s">
        <v>852</v>
      </c>
      <c r="M253" s="16" t="s">
        <v>2576</v>
      </c>
      <c r="N253" s="16" t="s">
        <v>2576</v>
      </c>
      <c r="O253" s="17" t="str">
        <f>IF(NOT("https://maps.app.goo.gl/PmwE1hpK62FCGpay8" = ""), HYPERLINK("https://maps.app.goo.gl/PmwE1hpK62FCGpay8", "موقع"), "")</f>
        <v>موقع</v>
      </c>
      <c r="P253" s="15">
        <v>24000</v>
      </c>
      <c r="Q253" s="15" t="s">
        <v>853</v>
      </c>
      <c r="R253" s="24" t="s">
        <v>2773</v>
      </c>
    </row>
    <row r="254" spans="1:18" s="18" customFormat="1" ht="100.8" x14ac:dyDescent="0.3">
      <c r="A254" s="15" t="s">
        <v>854</v>
      </c>
      <c r="B254" s="15" t="s">
        <v>20</v>
      </c>
      <c r="C254" s="15" t="s">
        <v>45</v>
      </c>
      <c r="D254" s="15" t="s">
        <v>828</v>
      </c>
      <c r="E254" s="15" t="s">
        <v>829</v>
      </c>
      <c r="F254" s="15" t="s">
        <v>830</v>
      </c>
      <c r="G254" s="15" t="s">
        <v>855</v>
      </c>
      <c r="H254" s="15" t="s">
        <v>856</v>
      </c>
      <c r="I254" s="15">
        <v>234</v>
      </c>
      <c r="J254" s="15">
        <v>121</v>
      </c>
      <c r="K254" s="15" t="s">
        <v>75</v>
      </c>
      <c r="L254" s="15" t="s">
        <v>857</v>
      </c>
      <c r="M254" s="17" t="str">
        <f>IF(NOT("https://youtu.be/sWKfBmYY4cQ" = ""), HYPERLINK("https://youtu.be/sWKfBmYY4cQ", "فيديو"), "")</f>
        <v>فيديو</v>
      </c>
      <c r="N254" s="17" t="str">
        <f>IF(NOT("https://truemarkets3d.net/3d-virtual-tour/housingbank-realestate/phase3/aq-re-100385/index.html" = ""), HYPERLINK("https://truemarkets3d.net/3d-virtual-tour/housingbank-realestate/phase3/aq-re-100385/index.html", "جولة"), "")</f>
        <v>جولة</v>
      </c>
      <c r="O254" s="17" t="str">
        <f>IF(NOT("https://maps.app.goo.gl/3HcoYjFkhR7F6YYX6" = ""), HYPERLINK("https://maps.app.goo.gl/3HcoYjFkhR7F6YYX6", "موقع"), "")</f>
        <v>موقع</v>
      </c>
      <c r="P254" s="15">
        <v>124000</v>
      </c>
      <c r="Q254" s="15" t="s">
        <v>858</v>
      </c>
      <c r="R254" s="24" t="s">
        <v>2774</v>
      </c>
    </row>
    <row r="255" spans="1:18" s="18" customFormat="1" ht="50.4" x14ac:dyDescent="0.3">
      <c r="A255" s="15" t="s">
        <v>859</v>
      </c>
      <c r="B255" s="15" t="s">
        <v>20</v>
      </c>
      <c r="C255" s="15" t="s">
        <v>54</v>
      </c>
      <c r="D255" s="15" t="s">
        <v>828</v>
      </c>
      <c r="E255" s="15" t="s">
        <v>860</v>
      </c>
      <c r="F255" s="15" t="s">
        <v>861</v>
      </c>
      <c r="G255" s="15" t="s">
        <v>862</v>
      </c>
      <c r="H255" s="15" t="s">
        <v>863</v>
      </c>
      <c r="I255" s="15">
        <v>1532</v>
      </c>
      <c r="J255" s="15">
        <v>121</v>
      </c>
      <c r="K255" s="15" t="s">
        <v>75</v>
      </c>
      <c r="L255" s="15" t="s">
        <v>864</v>
      </c>
      <c r="M255" s="16" t="s">
        <v>2576</v>
      </c>
      <c r="N255" s="16" t="s">
        <v>2576</v>
      </c>
      <c r="O255" s="16" t="s">
        <v>2576</v>
      </c>
      <c r="P255" s="15">
        <v>8000</v>
      </c>
      <c r="Q255" s="15" t="s">
        <v>865</v>
      </c>
      <c r="R255" s="24" t="s">
        <v>2775</v>
      </c>
    </row>
    <row r="256" spans="1:18" s="18" customFormat="1" ht="100.8" x14ac:dyDescent="0.3">
      <c r="A256" s="15" t="s">
        <v>866</v>
      </c>
      <c r="B256" s="15" t="s">
        <v>20</v>
      </c>
      <c r="C256" s="15" t="s">
        <v>54</v>
      </c>
      <c r="D256" s="15" t="s">
        <v>828</v>
      </c>
      <c r="E256" s="15" t="s">
        <v>860</v>
      </c>
      <c r="F256" s="15" t="s">
        <v>861</v>
      </c>
      <c r="G256" s="15" t="s">
        <v>862</v>
      </c>
      <c r="H256" s="15" t="s">
        <v>863</v>
      </c>
      <c r="I256" s="15">
        <v>1532</v>
      </c>
      <c r="J256" s="15">
        <v>122</v>
      </c>
      <c r="K256" s="15" t="s">
        <v>32</v>
      </c>
      <c r="L256" s="15" t="s">
        <v>867</v>
      </c>
      <c r="M256" s="16" t="s">
        <v>2576</v>
      </c>
      <c r="N256" s="16" t="s">
        <v>2576</v>
      </c>
      <c r="O256" s="16" t="s">
        <v>2576</v>
      </c>
      <c r="P256" s="15">
        <v>13000</v>
      </c>
      <c r="Q256" s="15" t="s">
        <v>868</v>
      </c>
      <c r="R256" s="24" t="s">
        <v>2776</v>
      </c>
    </row>
    <row r="257" spans="1:18" s="18" customFormat="1" ht="50.4" x14ac:dyDescent="0.3">
      <c r="A257" s="15" t="s">
        <v>869</v>
      </c>
      <c r="B257" s="15" t="s">
        <v>20</v>
      </c>
      <c r="C257" s="15" t="s">
        <v>54</v>
      </c>
      <c r="D257" s="15" t="s">
        <v>828</v>
      </c>
      <c r="E257" s="15" t="s">
        <v>860</v>
      </c>
      <c r="F257" s="15" t="s">
        <v>861</v>
      </c>
      <c r="G257" s="15" t="s">
        <v>862</v>
      </c>
      <c r="H257" s="15" t="s">
        <v>870</v>
      </c>
      <c r="I257" s="15">
        <v>1532</v>
      </c>
      <c r="J257" s="15">
        <v>-101</v>
      </c>
      <c r="K257" s="15" t="s">
        <v>27</v>
      </c>
      <c r="L257" s="15" t="s">
        <v>871</v>
      </c>
      <c r="M257" s="16" t="s">
        <v>2576</v>
      </c>
      <c r="N257" s="16" t="s">
        <v>2576</v>
      </c>
      <c r="O257" s="16" t="s">
        <v>2576</v>
      </c>
      <c r="P257" s="15">
        <v>16000</v>
      </c>
      <c r="Q257" s="15" t="s">
        <v>872</v>
      </c>
      <c r="R257" s="24" t="s">
        <v>2777</v>
      </c>
    </row>
    <row r="258" spans="1:18" s="18" customFormat="1" ht="100.8" x14ac:dyDescent="0.3">
      <c r="A258" s="15" t="s">
        <v>873</v>
      </c>
      <c r="B258" s="15" t="s">
        <v>20</v>
      </c>
      <c r="C258" s="15" t="s">
        <v>54</v>
      </c>
      <c r="D258" s="15" t="s">
        <v>828</v>
      </c>
      <c r="E258" s="15" t="s">
        <v>874</v>
      </c>
      <c r="F258" s="15" t="s">
        <v>875</v>
      </c>
      <c r="G258" s="15" t="s">
        <v>876</v>
      </c>
      <c r="H258" s="15" t="s">
        <v>877</v>
      </c>
      <c r="I258" s="15">
        <v>960</v>
      </c>
      <c r="J258" s="15">
        <v>-103</v>
      </c>
      <c r="K258" s="15" t="s">
        <v>27</v>
      </c>
      <c r="L258" s="15" t="s">
        <v>546</v>
      </c>
      <c r="M258" s="16" t="s">
        <v>2576</v>
      </c>
      <c r="N258" s="16" t="s">
        <v>2576</v>
      </c>
      <c r="O258" s="17" t="str">
        <f>IF(NOT("https://maps.app.goo.gl/VBweDiHNgF3JENxcA" = ""), HYPERLINK("https://maps.app.goo.gl/VBweDiHNgF3JENxcA", "موقع"), "")</f>
        <v>موقع</v>
      </c>
      <c r="P258" s="15">
        <v>19000</v>
      </c>
      <c r="Q258" s="15" t="s">
        <v>878</v>
      </c>
      <c r="R258" s="24" t="s">
        <v>2778</v>
      </c>
    </row>
    <row r="259" spans="1:18" s="18" customFormat="1" ht="50.4" x14ac:dyDescent="0.3">
      <c r="A259" s="15" t="s">
        <v>879</v>
      </c>
      <c r="B259" s="15" t="s">
        <v>20</v>
      </c>
      <c r="C259" s="15" t="s">
        <v>54</v>
      </c>
      <c r="D259" s="15" t="s">
        <v>828</v>
      </c>
      <c r="E259" s="15" t="s">
        <v>880</v>
      </c>
      <c r="F259" s="15" t="s">
        <v>881</v>
      </c>
      <c r="G259" s="15" t="s">
        <v>882</v>
      </c>
      <c r="H259" s="15" t="s">
        <v>883</v>
      </c>
      <c r="I259" s="15">
        <v>827</v>
      </c>
      <c r="J259" s="15">
        <v>104</v>
      </c>
      <c r="K259" s="15" t="s">
        <v>41</v>
      </c>
      <c r="L259" s="15" t="s">
        <v>884</v>
      </c>
      <c r="M259" s="16" t="s">
        <v>2576</v>
      </c>
      <c r="N259" s="16" t="s">
        <v>2576</v>
      </c>
      <c r="O259" s="17" t="str">
        <f>IF(NOT("https://maps.app.goo.gl/bWeoxqp64j34EsDz9" = ""), HYPERLINK("https://maps.app.goo.gl/bWeoxqp64j34EsDz9", "موقع"), "")</f>
        <v>موقع</v>
      </c>
      <c r="P259" s="15">
        <v>19000</v>
      </c>
      <c r="Q259" s="15" t="s">
        <v>885</v>
      </c>
      <c r="R259" s="24" t="s">
        <v>2779</v>
      </c>
    </row>
    <row r="260" spans="1:18" s="18" customFormat="1" ht="100.8" x14ac:dyDescent="0.3">
      <c r="A260" s="15" t="s">
        <v>886</v>
      </c>
      <c r="B260" s="15" t="s">
        <v>20</v>
      </c>
      <c r="C260" s="15" t="s">
        <v>54</v>
      </c>
      <c r="D260" s="15" t="s">
        <v>828</v>
      </c>
      <c r="E260" s="15" t="s">
        <v>874</v>
      </c>
      <c r="F260" s="15" t="s">
        <v>887</v>
      </c>
      <c r="G260" s="15" t="s">
        <v>888</v>
      </c>
      <c r="H260" s="15" t="s">
        <v>889</v>
      </c>
      <c r="I260" s="15">
        <v>1152</v>
      </c>
      <c r="J260" s="15">
        <v>111</v>
      </c>
      <c r="K260" s="15" t="s">
        <v>32</v>
      </c>
      <c r="L260" s="15" t="s">
        <v>890</v>
      </c>
      <c r="M260" s="16" t="s">
        <v>2576</v>
      </c>
      <c r="N260" s="16" t="s">
        <v>2576</v>
      </c>
      <c r="O260" s="16" t="s">
        <v>2576</v>
      </c>
      <c r="P260" s="15">
        <v>21000</v>
      </c>
      <c r="Q260" s="15" t="s">
        <v>891</v>
      </c>
      <c r="R260" s="24" t="s">
        <v>2780</v>
      </c>
    </row>
    <row r="261" spans="1:18" s="18" customFormat="1" ht="134.4" x14ac:dyDescent="0.3">
      <c r="A261" s="15" t="s">
        <v>892</v>
      </c>
      <c r="B261" s="15" t="s">
        <v>20</v>
      </c>
      <c r="C261" s="15" t="s">
        <v>54</v>
      </c>
      <c r="D261" s="15" t="s">
        <v>828</v>
      </c>
      <c r="E261" s="15" t="s">
        <v>860</v>
      </c>
      <c r="F261" s="15" t="s">
        <v>893</v>
      </c>
      <c r="G261" s="15" t="s">
        <v>894</v>
      </c>
      <c r="H261" s="15" t="s">
        <v>895</v>
      </c>
      <c r="I261" s="15">
        <v>154</v>
      </c>
      <c r="J261" s="15">
        <v>123</v>
      </c>
      <c r="K261" s="15" t="s">
        <v>75</v>
      </c>
      <c r="L261" s="15" t="s">
        <v>557</v>
      </c>
      <c r="M261" s="16" t="s">
        <v>2576</v>
      </c>
      <c r="N261" s="17" t="str">
        <f>IF(NOT("https://truemarkets3d.net/3d-virtual-tour/housingbank-realestate/phase3/aq-re-100102/index.html" = ""), HYPERLINK("https://truemarkets3d.net/3d-virtual-tour/housingbank-realestate/phase3/aq-re-100102/index.html", "جولة"), "")</f>
        <v>جولة</v>
      </c>
      <c r="O261" s="17" t="str">
        <f>IF(NOT("https://maps.app.goo.gl/18D643vFWhNA1VvUA" = ""), HYPERLINK("https://maps.app.goo.gl/18D643vFWhNA1VvUA", "موقع"), "")</f>
        <v>موقع</v>
      </c>
      <c r="P261" s="15">
        <v>21000</v>
      </c>
      <c r="Q261" s="15" t="s">
        <v>896</v>
      </c>
      <c r="R261" s="24" t="s">
        <v>2781</v>
      </c>
    </row>
    <row r="262" spans="1:18" s="18" customFormat="1" ht="117.6" x14ac:dyDescent="0.3">
      <c r="A262" s="15" t="s">
        <v>897</v>
      </c>
      <c r="B262" s="15" t="s">
        <v>20</v>
      </c>
      <c r="C262" s="15" t="s">
        <v>54</v>
      </c>
      <c r="D262" s="15" t="s">
        <v>828</v>
      </c>
      <c r="E262" s="15" t="s">
        <v>860</v>
      </c>
      <c r="F262" s="15" t="s">
        <v>893</v>
      </c>
      <c r="G262" s="15" t="s">
        <v>894</v>
      </c>
      <c r="H262" s="15" t="s">
        <v>895</v>
      </c>
      <c r="I262" s="15">
        <v>257</v>
      </c>
      <c r="J262" s="15">
        <v>-101</v>
      </c>
      <c r="K262" s="15" t="s">
        <v>41</v>
      </c>
      <c r="L262" s="15" t="s">
        <v>898</v>
      </c>
      <c r="M262" s="17" t="str">
        <f>IF(NOT("https://youtu.be/ZHZnvxhpPdU" = ""), HYPERLINK("https://youtu.be/ZHZnvxhpPdU", "فيديو"), "")</f>
        <v>فيديو</v>
      </c>
      <c r="N262" s="17" t="str">
        <f>IF(NOT("https://truemarkets3d.net/3d-virtual-tour/housingbank-realestate/phase3/aq-re-100538/index.html" = ""), HYPERLINK("https://truemarkets3d.net/3d-virtual-tour/housingbank-realestate/phase3/aq-re-100538/index.html", "جولة"), "")</f>
        <v>جولة</v>
      </c>
      <c r="O262" s="17" t="str">
        <f>IF(NOT("https://maps.app.goo.gl/gJgkxjtdkCa7kW5G6" = ""), HYPERLINK("https://maps.app.goo.gl/gJgkxjtdkCa7kW5G6", "موقع"), "")</f>
        <v>موقع</v>
      </c>
      <c r="P262" s="15">
        <v>21000</v>
      </c>
      <c r="Q262" s="15" t="s">
        <v>899</v>
      </c>
      <c r="R262" s="24" t="s">
        <v>2782</v>
      </c>
    </row>
    <row r="263" spans="1:18" s="18" customFormat="1" ht="100.8" x14ac:dyDescent="0.3">
      <c r="A263" s="15" t="s">
        <v>900</v>
      </c>
      <c r="B263" s="15" t="s">
        <v>20</v>
      </c>
      <c r="C263" s="15" t="s">
        <v>54</v>
      </c>
      <c r="D263" s="15" t="s">
        <v>828</v>
      </c>
      <c r="E263" s="15" t="s">
        <v>874</v>
      </c>
      <c r="F263" s="15" t="s">
        <v>875</v>
      </c>
      <c r="G263" s="15" t="s">
        <v>901</v>
      </c>
      <c r="H263" s="15" t="s">
        <v>902</v>
      </c>
      <c r="I263" s="15">
        <v>3266</v>
      </c>
      <c r="J263" s="15">
        <v>-814</v>
      </c>
      <c r="K263" s="15" t="s">
        <v>27</v>
      </c>
      <c r="L263" s="15" t="s">
        <v>903</v>
      </c>
      <c r="M263" s="16" t="s">
        <v>2576</v>
      </c>
      <c r="N263" s="16" t="s">
        <v>2576</v>
      </c>
      <c r="O263" s="17" t="str">
        <f>IF(NOT("https://maps.app.goo.gl/7T7TVpSx9C8LK6M58" = ""), HYPERLINK("https://maps.app.goo.gl/7T7TVpSx9C8LK6M58", "موقع"), "")</f>
        <v>موقع</v>
      </c>
      <c r="P263" s="15">
        <v>22000</v>
      </c>
      <c r="Q263" s="15" t="s">
        <v>904</v>
      </c>
      <c r="R263" s="24" t="s">
        <v>2783</v>
      </c>
    </row>
    <row r="264" spans="1:18" s="18" customFormat="1" ht="100.8" x14ac:dyDescent="0.3">
      <c r="A264" s="15" t="s">
        <v>905</v>
      </c>
      <c r="B264" s="15" t="s">
        <v>20</v>
      </c>
      <c r="C264" s="15" t="s">
        <v>54</v>
      </c>
      <c r="D264" s="15" t="s">
        <v>828</v>
      </c>
      <c r="E264" s="15" t="s">
        <v>874</v>
      </c>
      <c r="F264" s="15" t="s">
        <v>875</v>
      </c>
      <c r="G264" s="15" t="s">
        <v>906</v>
      </c>
      <c r="H264" s="15" t="s">
        <v>877</v>
      </c>
      <c r="I264" s="15">
        <v>3943</v>
      </c>
      <c r="J264" s="15">
        <v>122</v>
      </c>
      <c r="K264" s="15" t="s">
        <v>75</v>
      </c>
      <c r="L264" s="15" t="s">
        <v>102</v>
      </c>
      <c r="M264" s="16" t="s">
        <v>2576</v>
      </c>
      <c r="N264" s="16" t="s">
        <v>2576</v>
      </c>
      <c r="O264" s="16" t="s">
        <v>2576</v>
      </c>
      <c r="P264" s="15">
        <v>23000</v>
      </c>
      <c r="Q264" s="15" t="s">
        <v>907</v>
      </c>
      <c r="R264" s="24" t="s">
        <v>2784</v>
      </c>
    </row>
    <row r="265" spans="1:18" s="18" customFormat="1" ht="100.8" x14ac:dyDescent="0.3">
      <c r="A265" s="15" t="s">
        <v>908</v>
      </c>
      <c r="B265" s="15" t="s">
        <v>20</v>
      </c>
      <c r="C265" s="15" t="s">
        <v>54</v>
      </c>
      <c r="D265" s="15" t="s">
        <v>828</v>
      </c>
      <c r="E265" s="15" t="s">
        <v>874</v>
      </c>
      <c r="F265" s="15" t="s">
        <v>875</v>
      </c>
      <c r="G265" s="15" t="s">
        <v>906</v>
      </c>
      <c r="H265" s="15" t="s">
        <v>877</v>
      </c>
      <c r="I265" s="15">
        <v>3943</v>
      </c>
      <c r="J265" s="15">
        <v>121</v>
      </c>
      <c r="K265" s="15" t="s">
        <v>75</v>
      </c>
      <c r="L265" s="15" t="s">
        <v>102</v>
      </c>
      <c r="M265" s="16" t="s">
        <v>2576</v>
      </c>
      <c r="N265" s="16" t="s">
        <v>2576</v>
      </c>
      <c r="O265" s="17" t="str">
        <f>IF(NOT("https://maps.app.goo.gl/CVUY1QsTKfAiCceLA" = ""), HYPERLINK("https://maps.app.goo.gl/CVUY1QsTKfAiCceLA", "موقع"), "")</f>
        <v>موقع</v>
      </c>
      <c r="P265" s="15">
        <v>23000</v>
      </c>
      <c r="Q265" s="15" t="s">
        <v>907</v>
      </c>
      <c r="R265" s="24" t="s">
        <v>2785</v>
      </c>
    </row>
    <row r="266" spans="1:18" s="18" customFormat="1" ht="50.4" x14ac:dyDescent="0.3">
      <c r="A266" s="15" t="s">
        <v>909</v>
      </c>
      <c r="B266" s="15" t="s">
        <v>20</v>
      </c>
      <c r="C266" s="15" t="s">
        <v>54</v>
      </c>
      <c r="D266" s="15" t="s">
        <v>828</v>
      </c>
      <c r="E266" s="15" t="s">
        <v>880</v>
      </c>
      <c r="F266" s="15" t="s">
        <v>881</v>
      </c>
      <c r="G266" s="15" t="s">
        <v>882</v>
      </c>
      <c r="H266" s="15" t="s">
        <v>883</v>
      </c>
      <c r="I266" s="15">
        <v>896</v>
      </c>
      <c r="J266" s="15">
        <v>-101</v>
      </c>
      <c r="K266" s="15" t="s">
        <v>27</v>
      </c>
      <c r="L266" s="15" t="s">
        <v>579</v>
      </c>
      <c r="M266" s="16" t="s">
        <v>2576</v>
      </c>
      <c r="N266" s="16" t="s">
        <v>2576</v>
      </c>
      <c r="O266" s="17" t="str">
        <f>IF(NOT("https://maps.app.goo.gl/Ex28ztdotoUbceN18" = ""), HYPERLINK("https://maps.app.goo.gl/Ex28ztdotoUbceN18", "موقع"), "")</f>
        <v>موقع</v>
      </c>
      <c r="P266" s="15">
        <v>23000</v>
      </c>
      <c r="Q266" s="15" t="s">
        <v>910</v>
      </c>
      <c r="R266" s="24" t="s">
        <v>2786</v>
      </c>
    </row>
    <row r="267" spans="1:18" s="18" customFormat="1" ht="67.2" x14ac:dyDescent="0.3">
      <c r="A267" s="15" t="s">
        <v>911</v>
      </c>
      <c r="B267" s="15" t="s">
        <v>20</v>
      </c>
      <c r="C267" s="15" t="s">
        <v>54</v>
      </c>
      <c r="D267" s="15" t="s">
        <v>828</v>
      </c>
      <c r="E267" s="15" t="s">
        <v>860</v>
      </c>
      <c r="F267" s="15" t="s">
        <v>893</v>
      </c>
      <c r="G267" s="15" t="s">
        <v>894</v>
      </c>
      <c r="H267" s="15" t="s">
        <v>895</v>
      </c>
      <c r="I267" s="15">
        <v>308</v>
      </c>
      <c r="J267" s="15">
        <v>111</v>
      </c>
      <c r="K267" s="15" t="s">
        <v>32</v>
      </c>
      <c r="L267" s="15" t="s">
        <v>579</v>
      </c>
      <c r="M267" s="16" t="s">
        <v>2576</v>
      </c>
      <c r="N267" s="17" t="str">
        <f>IF(NOT("https://truemarkets3d.net/3d-virtual-tour/housingbank-realestate/phase3/aq-re-100366/index.html" = ""), HYPERLINK("https://truemarkets3d.net/3d-virtual-tour/housingbank-realestate/phase3/aq-re-100366/index.html", "جولة"), "")</f>
        <v>جولة</v>
      </c>
      <c r="O267" s="16" t="s">
        <v>2576</v>
      </c>
      <c r="P267" s="15">
        <v>24000</v>
      </c>
      <c r="Q267" s="15" t="s">
        <v>912</v>
      </c>
      <c r="R267" s="24" t="s">
        <v>2787</v>
      </c>
    </row>
    <row r="268" spans="1:18" s="18" customFormat="1" ht="67.2" x14ac:dyDescent="0.3">
      <c r="A268" s="15" t="s">
        <v>913</v>
      </c>
      <c r="B268" s="15" t="s">
        <v>20</v>
      </c>
      <c r="C268" s="15" t="s">
        <v>54</v>
      </c>
      <c r="D268" s="15" t="s">
        <v>828</v>
      </c>
      <c r="E268" s="15" t="s">
        <v>860</v>
      </c>
      <c r="F268" s="15" t="s">
        <v>893</v>
      </c>
      <c r="G268" s="15" t="s">
        <v>914</v>
      </c>
      <c r="H268" s="15" t="s">
        <v>895</v>
      </c>
      <c r="I268" s="15">
        <v>366</v>
      </c>
      <c r="J268" s="15">
        <v>101</v>
      </c>
      <c r="K268" s="15" t="s">
        <v>41</v>
      </c>
      <c r="L268" s="15" t="s">
        <v>766</v>
      </c>
      <c r="M268" s="16" t="s">
        <v>2576</v>
      </c>
      <c r="N268" s="17" t="str">
        <f>IF(NOT("https://truemarkets3d.net/3d-virtual-tour/housingbank-realestate/phase3/aq-re-100344/index.html" = ""), HYPERLINK("https://truemarkets3d.net/3d-virtual-tour/housingbank-realestate/phase3/aq-re-100344/index.html", "جولة"), "")</f>
        <v>جولة</v>
      </c>
      <c r="O268" s="17" t="str">
        <f>IF(NOT("https://maps.app.goo.gl/ERYJaf2se3aibHBUA" = ""), HYPERLINK("https://maps.app.goo.gl/ERYJaf2se3aibHBUA", "موقع"), "")</f>
        <v>موقع</v>
      </c>
      <c r="P268" s="15">
        <v>24000</v>
      </c>
      <c r="Q268" s="15" t="s">
        <v>915</v>
      </c>
      <c r="R268" s="24" t="s">
        <v>2788</v>
      </c>
    </row>
    <row r="269" spans="1:18" s="18" customFormat="1" ht="50.4" x14ac:dyDescent="0.3">
      <c r="A269" s="15" t="s">
        <v>916</v>
      </c>
      <c r="B269" s="15" t="s">
        <v>20</v>
      </c>
      <c r="C269" s="15" t="s">
        <v>54</v>
      </c>
      <c r="D269" s="15" t="s">
        <v>828</v>
      </c>
      <c r="E269" s="15" t="s">
        <v>860</v>
      </c>
      <c r="F269" s="15" t="s">
        <v>861</v>
      </c>
      <c r="G269" s="15" t="s">
        <v>862</v>
      </c>
      <c r="H269" s="15" t="s">
        <v>870</v>
      </c>
      <c r="I269" s="15">
        <v>1532</v>
      </c>
      <c r="J269" s="15">
        <v>112</v>
      </c>
      <c r="K269" s="15" t="s">
        <v>32</v>
      </c>
      <c r="L269" s="15" t="s">
        <v>867</v>
      </c>
      <c r="M269" s="16" t="s">
        <v>2576</v>
      </c>
      <c r="N269" s="16" t="s">
        <v>2576</v>
      </c>
      <c r="O269" s="16" t="s">
        <v>2576</v>
      </c>
      <c r="P269" s="15">
        <v>25000</v>
      </c>
      <c r="Q269" s="15" t="s">
        <v>917</v>
      </c>
      <c r="R269" s="24" t="s">
        <v>2789</v>
      </c>
    </row>
    <row r="270" spans="1:18" s="18" customFormat="1" ht="100.8" x14ac:dyDescent="0.3">
      <c r="A270" s="15" t="s">
        <v>918</v>
      </c>
      <c r="B270" s="15" t="s">
        <v>20</v>
      </c>
      <c r="C270" s="15" t="s">
        <v>54</v>
      </c>
      <c r="D270" s="15" t="s">
        <v>828</v>
      </c>
      <c r="E270" s="15" t="s">
        <v>874</v>
      </c>
      <c r="F270" s="15" t="s">
        <v>875</v>
      </c>
      <c r="G270" s="15" t="s">
        <v>906</v>
      </c>
      <c r="H270" s="15" t="s">
        <v>877</v>
      </c>
      <c r="I270" s="15">
        <v>6220</v>
      </c>
      <c r="J270" s="15">
        <v>116</v>
      </c>
      <c r="K270" s="15" t="s">
        <v>32</v>
      </c>
      <c r="L270" s="15" t="s">
        <v>102</v>
      </c>
      <c r="M270" s="16" t="s">
        <v>2576</v>
      </c>
      <c r="N270" s="16" t="s">
        <v>2576</v>
      </c>
      <c r="O270" s="17" t="str">
        <f>IF(NOT("https://maps.app.goo.gl/aTx7pKjbh17iq25x8" = ""), HYPERLINK("https://maps.app.goo.gl/aTx7pKjbh17iq25x8", "موقع"), "")</f>
        <v>موقع</v>
      </c>
      <c r="P270" s="15">
        <v>25000</v>
      </c>
      <c r="Q270" s="15" t="s">
        <v>919</v>
      </c>
      <c r="R270" s="24" t="s">
        <v>2790</v>
      </c>
    </row>
    <row r="271" spans="1:18" s="18" customFormat="1" ht="100.8" x14ac:dyDescent="0.3">
      <c r="A271" s="15" t="s">
        <v>920</v>
      </c>
      <c r="B271" s="15" t="s">
        <v>20</v>
      </c>
      <c r="C271" s="15" t="s">
        <v>54</v>
      </c>
      <c r="D271" s="15" t="s">
        <v>828</v>
      </c>
      <c r="E271" s="15" t="s">
        <v>860</v>
      </c>
      <c r="F271" s="15" t="s">
        <v>893</v>
      </c>
      <c r="G271" s="15" t="s">
        <v>894</v>
      </c>
      <c r="H271" s="15" t="s">
        <v>895</v>
      </c>
      <c r="I271" s="15">
        <v>281</v>
      </c>
      <c r="J271" s="15">
        <v>124</v>
      </c>
      <c r="K271" s="15" t="s">
        <v>75</v>
      </c>
      <c r="L271" s="15" t="s">
        <v>921</v>
      </c>
      <c r="M271" s="17" t="str">
        <f>IF(NOT("https://youtu.be/ubFjmbx5NEI" = ""), HYPERLINK("https://youtu.be/ubFjmbx5NEI", "فيديو"), "")</f>
        <v>فيديو</v>
      </c>
      <c r="N271" s="17" t="str">
        <f>IF(NOT("https://truemarkets3d.net/3d-virtual-tour/housingbank-realestate/phase3/aq-re-100514/index.html" = ""), HYPERLINK("https://truemarkets3d.net/3d-virtual-tour/housingbank-realestate/phase3/aq-re-100514/index.html", "جولة"), "")</f>
        <v>جولة</v>
      </c>
      <c r="O271" s="17" t="str">
        <f>IF(NOT("https://maps.app.goo.gl/5sc3NScLkSbgC8vMA" = ""), HYPERLINK("https://maps.app.goo.gl/5sc3NScLkSbgC8vMA", "موقع"), "")</f>
        <v>موقع</v>
      </c>
      <c r="P271" s="15">
        <v>25000</v>
      </c>
      <c r="Q271" s="15" t="s">
        <v>922</v>
      </c>
      <c r="R271" s="24" t="s">
        <v>2791</v>
      </c>
    </row>
    <row r="272" spans="1:18" s="18" customFormat="1" ht="100.8" x14ac:dyDescent="0.3">
      <c r="A272" s="15" t="s">
        <v>923</v>
      </c>
      <c r="B272" s="15" t="s">
        <v>20</v>
      </c>
      <c r="C272" s="15" t="s">
        <v>54</v>
      </c>
      <c r="D272" s="15" t="s">
        <v>828</v>
      </c>
      <c r="E272" s="15" t="s">
        <v>874</v>
      </c>
      <c r="F272" s="15" t="s">
        <v>875</v>
      </c>
      <c r="G272" s="15" t="s">
        <v>906</v>
      </c>
      <c r="H272" s="15" t="s">
        <v>877</v>
      </c>
      <c r="I272" s="15">
        <v>3943</v>
      </c>
      <c r="J272" s="15">
        <v>102</v>
      </c>
      <c r="K272" s="15" t="s">
        <v>41</v>
      </c>
      <c r="L272" s="15" t="s">
        <v>102</v>
      </c>
      <c r="M272" s="16" t="s">
        <v>2576</v>
      </c>
      <c r="N272" s="16" t="s">
        <v>2576</v>
      </c>
      <c r="O272" s="17" t="str">
        <f>IF(NOT("https://maps.app.goo.gl/CVUY1QsTKfAiCceLA" = ""), HYPERLINK("https://maps.app.goo.gl/CVUY1QsTKfAiCceLA", "موقع"), "")</f>
        <v>موقع</v>
      </c>
      <c r="P272" s="15">
        <v>26000</v>
      </c>
      <c r="Q272" s="15" t="s">
        <v>924</v>
      </c>
      <c r="R272" s="24" t="s">
        <v>2792</v>
      </c>
    </row>
    <row r="273" spans="1:18" s="18" customFormat="1" ht="100.8" x14ac:dyDescent="0.3">
      <c r="A273" s="15" t="s">
        <v>925</v>
      </c>
      <c r="B273" s="15" t="s">
        <v>20</v>
      </c>
      <c r="C273" s="15" t="s">
        <v>54</v>
      </c>
      <c r="D273" s="15" t="s">
        <v>828</v>
      </c>
      <c r="E273" s="15" t="s">
        <v>874</v>
      </c>
      <c r="F273" s="15" t="s">
        <v>875</v>
      </c>
      <c r="G273" s="15" t="s">
        <v>906</v>
      </c>
      <c r="H273" s="15" t="s">
        <v>877</v>
      </c>
      <c r="I273" s="15">
        <v>3943</v>
      </c>
      <c r="J273" s="15">
        <v>101</v>
      </c>
      <c r="K273" s="15" t="s">
        <v>41</v>
      </c>
      <c r="L273" s="15" t="s">
        <v>102</v>
      </c>
      <c r="M273" s="16" t="s">
        <v>2576</v>
      </c>
      <c r="N273" s="16" t="s">
        <v>2576</v>
      </c>
      <c r="O273" s="17" t="str">
        <f>IF(NOT("https://maps.app.goo.gl/CVUY1QsTKfAiCceLA" = ""), HYPERLINK("https://maps.app.goo.gl/CVUY1QsTKfAiCceLA", "موقع"), "")</f>
        <v>موقع</v>
      </c>
      <c r="P273" s="15">
        <v>26000</v>
      </c>
      <c r="Q273" s="15" t="s">
        <v>924</v>
      </c>
      <c r="R273" s="24" t="s">
        <v>2793</v>
      </c>
    </row>
    <row r="274" spans="1:18" s="18" customFormat="1" ht="67.2" x14ac:dyDescent="0.3">
      <c r="A274" s="15" t="s">
        <v>926</v>
      </c>
      <c r="B274" s="15" t="s">
        <v>20</v>
      </c>
      <c r="C274" s="15" t="s">
        <v>54</v>
      </c>
      <c r="D274" s="15" t="s">
        <v>828</v>
      </c>
      <c r="E274" s="15" t="s">
        <v>860</v>
      </c>
      <c r="F274" s="15" t="s">
        <v>893</v>
      </c>
      <c r="G274" s="15" t="s">
        <v>894</v>
      </c>
      <c r="H274" s="15" t="s">
        <v>895</v>
      </c>
      <c r="I274" s="15">
        <v>219</v>
      </c>
      <c r="J274" s="15">
        <v>131</v>
      </c>
      <c r="K274" s="15" t="s">
        <v>50</v>
      </c>
      <c r="L274" s="15" t="s">
        <v>927</v>
      </c>
      <c r="M274" s="16" t="s">
        <v>2576</v>
      </c>
      <c r="N274" s="17" t="str">
        <f>IF(NOT("https://truemarkets3d.net/3d-virtual-tour/housingbank-realestate/phase3/aq-re-100118/index.html" = ""), HYPERLINK("https://truemarkets3d.net/3d-virtual-tour/housingbank-realestate/phase3/aq-re-100118/index.html", "جولة"), "")</f>
        <v>جولة</v>
      </c>
      <c r="O274" s="17" t="str">
        <f>IF(NOT("https://maps.app.goo.gl/kbtz4cZjB6puina27" = ""), HYPERLINK("https://maps.app.goo.gl/kbtz4cZjB6puina27", "موقع"), "")</f>
        <v>موقع</v>
      </c>
      <c r="P274" s="15">
        <v>26000</v>
      </c>
      <c r="Q274" s="15" t="s">
        <v>928</v>
      </c>
      <c r="R274" s="24" t="s">
        <v>2794</v>
      </c>
    </row>
    <row r="275" spans="1:18" s="18" customFormat="1" ht="100.8" x14ac:dyDescent="0.3">
      <c r="A275" s="15" t="s">
        <v>929</v>
      </c>
      <c r="B275" s="15" t="s">
        <v>20</v>
      </c>
      <c r="C275" s="15" t="s">
        <v>54</v>
      </c>
      <c r="D275" s="15" t="s">
        <v>828</v>
      </c>
      <c r="E275" s="15" t="s">
        <v>860</v>
      </c>
      <c r="F275" s="15" t="s">
        <v>893</v>
      </c>
      <c r="G275" s="15" t="s">
        <v>894</v>
      </c>
      <c r="H275" s="15" t="s">
        <v>895</v>
      </c>
      <c r="I275" s="15">
        <v>219</v>
      </c>
      <c r="J275" s="15">
        <v>133</v>
      </c>
      <c r="K275" s="15" t="s">
        <v>50</v>
      </c>
      <c r="L275" s="15" t="s">
        <v>930</v>
      </c>
      <c r="M275" s="16" t="s">
        <v>2576</v>
      </c>
      <c r="N275" s="16" t="s">
        <v>2576</v>
      </c>
      <c r="O275" s="17" t="str">
        <f>IF(NOT("https://maps.app.goo.gl/4XnYQpA3F8XtgmkL6" = ""), HYPERLINK("https://maps.app.goo.gl/4XnYQpA3F8XtgmkL6", "موقع"), "")</f>
        <v>موقع</v>
      </c>
      <c r="P275" s="15">
        <v>26000</v>
      </c>
      <c r="Q275" s="15" t="s">
        <v>931</v>
      </c>
      <c r="R275" s="24" t="s">
        <v>2795</v>
      </c>
    </row>
    <row r="276" spans="1:18" s="18" customFormat="1" ht="50.4" x14ac:dyDescent="0.3">
      <c r="A276" s="15" t="s">
        <v>932</v>
      </c>
      <c r="B276" s="15" t="s">
        <v>20</v>
      </c>
      <c r="C276" s="15" t="s">
        <v>54</v>
      </c>
      <c r="D276" s="15" t="s">
        <v>828</v>
      </c>
      <c r="E276" s="15" t="s">
        <v>860</v>
      </c>
      <c r="F276" s="15" t="s">
        <v>861</v>
      </c>
      <c r="G276" s="15" t="s">
        <v>862</v>
      </c>
      <c r="H276" s="15" t="s">
        <v>870</v>
      </c>
      <c r="I276" s="15">
        <v>1532</v>
      </c>
      <c r="J276" s="15">
        <v>111</v>
      </c>
      <c r="K276" s="15" t="s">
        <v>32</v>
      </c>
      <c r="L276" s="15" t="s">
        <v>864</v>
      </c>
      <c r="M276" s="16" t="s">
        <v>2576</v>
      </c>
      <c r="N276" s="16" t="s">
        <v>2576</v>
      </c>
      <c r="O276" s="16" t="s">
        <v>2576</v>
      </c>
      <c r="P276" s="15">
        <v>26000</v>
      </c>
      <c r="Q276" s="15" t="s">
        <v>933</v>
      </c>
      <c r="R276" s="24" t="s">
        <v>2796</v>
      </c>
    </row>
    <row r="277" spans="1:18" s="18" customFormat="1" ht="84" x14ac:dyDescent="0.3">
      <c r="A277" s="15" t="s">
        <v>934</v>
      </c>
      <c r="B277" s="15" t="s">
        <v>20</v>
      </c>
      <c r="C277" s="15" t="s">
        <v>54</v>
      </c>
      <c r="D277" s="15" t="s">
        <v>828</v>
      </c>
      <c r="E277" s="15" t="s">
        <v>860</v>
      </c>
      <c r="F277" s="15" t="s">
        <v>893</v>
      </c>
      <c r="G277" s="15" t="s">
        <v>935</v>
      </c>
      <c r="H277" s="15" t="s">
        <v>895</v>
      </c>
      <c r="I277" s="15">
        <v>100</v>
      </c>
      <c r="J277" s="15">
        <v>124</v>
      </c>
      <c r="K277" s="15" t="s">
        <v>75</v>
      </c>
      <c r="L277" s="15" t="s">
        <v>936</v>
      </c>
      <c r="M277" s="17" t="str">
        <f>IF(NOT("https://youtu.be/tmGy33dVEJs" = ""), HYPERLINK("https://youtu.be/tmGy33dVEJs", "فيديو"), "")</f>
        <v>فيديو</v>
      </c>
      <c r="N277" s="17" t="str">
        <f>IF(NOT("https://truemarkets3d.net/3d-virtual-tour/housingbank-realestate/phase3/aq-re-100480/index.html" = ""), HYPERLINK("https://truemarkets3d.net/3d-virtual-tour/housingbank-realestate/phase3/aq-re-100480/index.html", "جولة"), "")</f>
        <v>جولة</v>
      </c>
      <c r="O277" s="17" t="str">
        <f>IF(NOT("https://maps.app.goo.gl/Y9TmiZM2eCzjn8H49" = ""), HYPERLINK("https://maps.app.goo.gl/Y9TmiZM2eCzjn8H49", "موقع"), "")</f>
        <v>موقع</v>
      </c>
      <c r="P277" s="15">
        <v>27000</v>
      </c>
      <c r="Q277" s="15" t="s">
        <v>937</v>
      </c>
      <c r="R277" s="24" t="s">
        <v>2797</v>
      </c>
    </row>
    <row r="278" spans="1:18" s="18" customFormat="1" ht="100.8" x14ac:dyDescent="0.3">
      <c r="A278" s="15" t="s">
        <v>938</v>
      </c>
      <c r="B278" s="15" t="s">
        <v>20</v>
      </c>
      <c r="C278" s="15" t="s">
        <v>54</v>
      </c>
      <c r="D278" s="15" t="s">
        <v>828</v>
      </c>
      <c r="E278" s="15" t="s">
        <v>829</v>
      </c>
      <c r="F278" s="15" t="s">
        <v>830</v>
      </c>
      <c r="G278" s="15" t="s">
        <v>939</v>
      </c>
      <c r="H278" s="15" t="s">
        <v>940</v>
      </c>
      <c r="I278" s="15">
        <v>1356</v>
      </c>
      <c r="J278" s="15">
        <v>101</v>
      </c>
      <c r="K278" s="15" t="s">
        <v>41</v>
      </c>
      <c r="L278" s="15" t="s">
        <v>941</v>
      </c>
      <c r="M278" s="16" t="s">
        <v>2576</v>
      </c>
      <c r="N278" s="17" t="str">
        <f>IF(NOT("https://truemarkets3d.net/3d-virtual-tour/housingbank-realestate/phase3/aq-re-100512/index.html" = ""), HYPERLINK("https://truemarkets3d.net/3d-virtual-tour/housingbank-realestate/phase3/aq-re-100512/index.html", "جولة"), "")</f>
        <v>جولة</v>
      </c>
      <c r="O278" s="17" t="str">
        <f>IF(NOT("https://maps.app.goo.gl/q8jxZJE12xrqNLrV8" = ""), HYPERLINK("https://maps.app.goo.gl/q8jxZJE12xrqNLrV8", "موقع"), "")</f>
        <v>موقع</v>
      </c>
      <c r="P278" s="15">
        <v>29000</v>
      </c>
      <c r="Q278" s="15" t="s">
        <v>942</v>
      </c>
      <c r="R278" s="24" t="s">
        <v>2798</v>
      </c>
    </row>
    <row r="279" spans="1:18" s="18" customFormat="1" ht="100.8" x14ac:dyDescent="0.3">
      <c r="A279" s="15" t="s">
        <v>943</v>
      </c>
      <c r="B279" s="15" t="s">
        <v>20</v>
      </c>
      <c r="C279" s="15" t="s">
        <v>54</v>
      </c>
      <c r="D279" s="15" t="s">
        <v>828</v>
      </c>
      <c r="E279" s="15" t="s">
        <v>880</v>
      </c>
      <c r="F279" s="15" t="s">
        <v>944</v>
      </c>
      <c r="G279" s="15" t="s">
        <v>945</v>
      </c>
      <c r="H279" s="15" t="s">
        <v>883</v>
      </c>
      <c r="I279" s="15">
        <v>673</v>
      </c>
      <c r="J279" s="15">
        <v>101</v>
      </c>
      <c r="K279" s="15" t="s">
        <v>41</v>
      </c>
      <c r="L279" s="15" t="s">
        <v>946</v>
      </c>
      <c r="M279" s="16" t="s">
        <v>2576</v>
      </c>
      <c r="N279" s="16" t="s">
        <v>2576</v>
      </c>
      <c r="O279" s="17" t="str">
        <f>IF(NOT("https://maps.app.goo.gl/9HgMwvdaYCYtsHaMA" = ""), HYPERLINK("https://maps.app.goo.gl/9HgMwvdaYCYtsHaMA", "موقع"), "")</f>
        <v>موقع</v>
      </c>
      <c r="P279" s="15">
        <v>29000</v>
      </c>
      <c r="Q279" s="15" t="s">
        <v>947</v>
      </c>
      <c r="R279" s="24" t="s">
        <v>2799</v>
      </c>
    </row>
    <row r="280" spans="1:18" s="18" customFormat="1" ht="100.8" x14ac:dyDescent="0.3">
      <c r="A280" s="15" t="s">
        <v>948</v>
      </c>
      <c r="B280" s="15" t="s">
        <v>20</v>
      </c>
      <c r="C280" s="15" t="s">
        <v>54</v>
      </c>
      <c r="D280" s="15" t="s">
        <v>828</v>
      </c>
      <c r="E280" s="15" t="s">
        <v>829</v>
      </c>
      <c r="F280" s="15" t="s">
        <v>830</v>
      </c>
      <c r="G280" s="15" t="s">
        <v>949</v>
      </c>
      <c r="H280" s="15" t="s">
        <v>950</v>
      </c>
      <c r="I280" s="15">
        <v>1052</v>
      </c>
      <c r="J280" s="15">
        <v>102</v>
      </c>
      <c r="K280" s="15" t="s">
        <v>41</v>
      </c>
      <c r="L280" s="15" t="s">
        <v>951</v>
      </c>
      <c r="M280" s="16" t="s">
        <v>2576</v>
      </c>
      <c r="N280" s="16" t="s">
        <v>2576</v>
      </c>
      <c r="O280" s="16" t="s">
        <v>2576</v>
      </c>
      <c r="P280" s="15">
        <v>29000</v>
      </c>
      <c r="Q280" s="15" t="s">
        <v>952</v>
      </c>
      <c r="R280" s="24" t="s">
        <v>2800</v>
      </c>
    </row>
    <row r="281" spans="1:18" s="18" customFormat="1" ht="100.8" x14ac:dyDescent="0.3">
      <c r="A281" s="15" t="s">
        <v>953</v>
      </c>
      <c r="B281" s="15" t="s">
        <v>20</v>
      </c>
      <c r="C281" s="15" t="s">
        <v>54</v>
      </c>
      <c r="D281" s="15" t="s">
        <v>828</v>
      </c>
      <c r="E281" s="15" t="s">
        <v>874</v>
      </c>
      <c r="F281" s="15" t="s">
        <v>875</v>
      </c>
      <c r="G281" s="15" t="s">
        <v>954</v>
      </c>
      <c r="H281" s="15" t="s">
        <v>877</v>
      </c>
      <c r="I281" s="15">
        <v>3272</v>
      </c>
      <c r="J281" s="15">
        <v>131</v>
      </c>
      <c r="K281" s="15" t="s">
        <v>50</v>
      </c>
      <c r="L281" s="15" t="s">
        <v>955</v>
      </c>
      <c r="M281" s="16" t="s">
        <v>2576</v>
      </c>
      <c r="N281" s="16" t="s">
        <v>2576</v>
      </c>
      <c r="O281" s="16" t="s">
        <v>2576</v>
      </c>
      <c r="P281" s="15">
        <v>30000</v>
      </c>
      <c r="Q281" s="15" t="s">
        <v>956</v>
      </c>
      <c r="R281" s="24" t="s">
        <v>2801</v>
      </c>
    </row>
    <row r="282" spans="1:18" s="18" customFormat="1" ht="100.8" x14ac:dyDescent="0.3">
      <c r="A282" s="15" t="s">
        <v>957</v>
      </c>
      <c r="B282" s="15" t="s">
        <v>20</v>
      </c>
      <c r="C282" s="15" t="s">
        <v>54</v>
      </c>
      <c r="D282" s="15" t="s">
        <v>828</v>
      </c>
      <c r="E282" s="15" t="s">
        <v>874</v>
      </c>
      <c r="F282" s="15" t="s">
        <v>875</v>
      </c>
      <c r="G282" s="15" t="s">
        <v>954</v>
      </c>
      <c r="H282" s="15" t="s">
        <v>877</v>
      </c>
      <c r="I282" s="15">
        <v>3272</v>
      </c>
      <c r="J282" s="15">
        <v>132</v>
      </c>
      <c r="K282" s="15" t="s">
        <v>50</v>
      </c>
      <c r="L282" s="15" t="s">
        <v>955</v>
      </c>
      <c r="M282" s="16" t="s">
        <v>2576</v>
      </c>
      <c r="N282" s="16" t="s">
        <v>2576</v>
      </c>
      <c r="O282" s="17" t="str">
        <f>IF(NOT("https://maps.app.goo.gl/KVbpBtAUNLD4fGf17" = ""), HYPERLINK("https://maps.app.goo.gl/KVbpBtAUNLD4fGf17", "موقع"), "")</f>
        <v>موقع</v>
      </c>
      <c r="P282" s="15">
        <v>30000</v>
      </c>
      <c r="Q282" s="15" t="s">
        <v>956</v>
      </c>
      <c r="R282" s="24" t="s">
        <v>2802</v>
      </c>
    </row>
    <row r="283" spans="1:18" s="18" customFormat="1" ht="100.8" x14ac:dyDescent="0.3">
      <c r="A283" s="15" t="s">
        <v>958</v>
      </c>
      <c r="B283" s="15" t="s">
        <v>20</v>
      </c>
      <c r="C283" s="15" t="s">
        <v>54</v>
      </c>
      <c r="D283" s="15" t="s">
        <v>828</v>
      </c>
      <c r="E283" s="15" t="s">
        <v>860</v>
      </c>
      <c r="F283" s="15" t="s">
        <v>861</v>
      </c>
      <c r="G283" s="15" t="s">
        <v>959</v>
      </c>
      <c r="H283" s="15" t="s">
        <v>870</v>
      </c>
      <c r="I283" s="15">
        <v>6217</v>
      </c>
      <c r="J283" s="15">
        <v>123</v>
      </c>
      <c r="K283" s="15" t="s">
        <v>75</v>
      </c>
      <c r="L283" s="15" t="s">
        <v>960</v>
      </c>
      <c r="M283" s="16" t="s">
        <v>2576</v>
      </c>
      <c r="N283" s="17" t="str">
        <f>IF(NOT("https://truemarkets3d.net/3d-virtual-tour/housingbank-realestate/phase3/aq-re-100860/index.html" = ""), HYPERLINK("https://truemarkets3d.net/3d-virtual-tour/housingbank-realestate/phase3/aq-re-100860/index.html", "جولة"), "")</f>
        <v>جولة</v>
      </c>
      <c r="O283" s="17" t="str">
        <f>IF(NOT("https://maps.app.goo.gl/iXC6GxQpcnzo8KVt8" = ""), HYPERLINK("https://maps.app.goo.gl/iXC6GxQpcnzo8KVt8", "موقع"), "")</f>
        <v>موقع</v>
      </c>
      <c r="P283" s="15">
        <v>30000</v>
      </c>
      <c r="Q283" s="15" t="s">
        <v>961</v>
      </c>
      <c r="R283" s="24" t="s">
        <v>2803</v>
      </c>
    </row>
    <row r="284" spans="1:18" s="18" customFormat="1" ht="100.8" x14ac:dyDescent="0.3">
      <c r="A284" s="15" t="s">
        <v>962</v>
      </c>
      <c r="B284" s="15" t="s">
        <v>20</v>
      </c>
      <c r="C284" s="15" t="s">
        <v>54</v>
      </c>
      <c r="D284" s="15" t="s">
        <v>828</v>
      </c>
      <c r="E284" s="15" t="s">
        <v>874</v>
      </c>
      <c r="F284" s="15" t="s">
        <v>875</v>
      </c>
      <c r="G284" s="15" t="s">
        <v>954</v>
      </c>
      <c r="H284" s="15" t="s">
        <v>877</v>
      </c>
      <c r="I284" s="15">
        <v>3272</v>
      </c>
      <c r="J284" s="15">
        <v>122</v>
      </c>
      <c r="K284" s="15" t="s">
        <v>75</v>
      </c>
      <c r="L284" s="15" t="s">
        <v>955</v>
      </c>
      <c r="M284" s="16" t="s">
        <v>2576</v>
      </c>
      <c r="N284" s="16" t="s">
        <v>2576</v>
      </c>
      <c r="O284" s="17" t="str">
        <f>IF(NOT("https://maps.app.goo.gl/KVbpBtAUNLD4fGf17" = ""), HYPERLINK("https://maps.app.goo.gl/KVbpBtAUNLD4fGf17", "موقع"), "")</f>
        <v>موقع</v>
      </c>
      <c r="P284" s="15">
        <v>31000</v>
      </c>
      <c r="Q284" s="15" t="s">
        <v>963</v>
      </c>
      <c r="R284" s="24" t="s">
        <v>2804</v>
      </c>
    </row>
    <row r="285" spans="1:18" s="18" customFormat="1" ht="100.8" x14ac:dyDescent="0.3">
      <c r="A285" s="15" t="s">
        <v>964</v>
      </c>
      <c r="B285" s="15" t="s">
        <v>20</v>
      </c>
      <c r="C285" s="15" t="s">
        <v>54</v>
      </c>
      <c r="D285" s="15" t="s">
        <v>828</v>
      </c>
      <c r="E285" s="15" t="s">
        <v>874</v>
      </c>
      <c r="F285" s="15" t="s">
        <v>875</v>
      </c>
      <c r="G285" s="15" t="s">
        <v>954</v>
      </c>
      <c r="H285" s="15" t="s">
        <v>877</v>
      </c>
      <c r="I285" s="15">
        <v>3272</v>
      </c>
      <c r="J285" s="15">
        <v>121</v>
      </c>
      <c r="K285" s="15" t="s">
        <v>75</v>
      </c>
      <c r="L285" s="15" t="s">
        <v>955</v>
      </c>
      <c r="M285" s="16" t="s">
        <v>2576</v>
      </c>
      <c r="N285" s="16" t="s">
        <v>2576</v>
      </c>
      <c r="O285" s="16" t="s">
        <v>2576</v>
      </c>
      <c r="P285" s="15">
        <v>31000</v>
      </c>
      <c r="Q285" s="15" t="s">
        <v>963</v>
      </c>
      <c r="R285" s="24" t="s">
        <v>2805</v>
      </c>
    </row>
    <row r="286" spans="1:18" s="18" customFormat="1" ht="100.8" x14ac:dyDescent="0.3">
      <c r="A286" s="15" t="s">
        <v>965</v>
      </c>
      <c r="B286" s="15" t="s">
        <v>20</v>
      </c>
      <c r="C286" s="15" t="s">
        <v>54</v>
      </c>
      <c r="D286" s="15" t="s">
        <v>828</v>
      </c>
      <c r="E286" s="15" t="s">
        <v>874</v>
      </c>
      <c r="F286" s="15" t="s">
        <v>875</v>
      </c>
      <c r="G286" s="15" t="s">
        <v>954</v>
      </c>
      <c r="H286" s="15" t="s">
        <v>877</v>
      </c>
      <c r="I286" s="15">
        <v>3272</v>
      </c>
      <c r="J286" s="15">
        <v>111</v>
      </c>
      <c r="K286" s="15" t="s">
        <v>32</v>
      </c>
      <c r="L286" s="15" t="s">
        <v>955</v>
      </c>
      <c r="M286" s="16" t="s">
        <v>2576</v>
      </c>
      <c r="N286" s="16" t="s">
        <v>2576</v>
      </c>
      <c r="O286" s="17" t="str">
        <f>IF(NOT("https://maps.app.goo.gl/KVbpBtAUNLD4fGf17" = ""), HYPERLINK("https://maps.app.goo.gl/KVbpBtAUNLD4fGf17", "موقع"), "")</f>
        <v>موقع</v>
      </c>
      <c r="P286" s="15">
        <v>32000</v>
      </c>
      <c r="Q286" s="15" t="s">
        <v>966</v>
      </c>
      <c r="R286" s="24" t="s">
        <v>2806</v>
      </c>
    </row>
    <row r="287" spans="1:18" s="18" customFormat="1" ht="100.8" x14ac:dyDescent="0.3">
      <c r="A287" s="15" t="s">
        <v>967</v>
      </c>
      <c r="B287" s="15" t="s">
        <v>20</v>
      </c>
      <c r="C287" s="15" t="s">
        <v>54</v>
      </c>
      <c r="D287" s="15" t="s">
        <v>828</v>
      </c>
      <c r="E287" s="15" t="s">
        <v>874</v>
      </c>
      <c r="F287" s="15" t="s">
        <v>887</v>
      </c>
      <c r="G287" s="15" t="s">
        <v>888</v>
      </c>
      <c r="H287" s="15" t="s">
        <v>889</v>
      </c>
      <c r="I287" s="15">
        <v>3969</v>
      </c>
      <c r="J287" s="15">
        <v>122</v>
      </c>
      <c r="K287" s="15" t="s">
        <v>75</v>
      </c>
      <c r="L287" s="15" t="s">
        <v>955</v>
      </c>
      <c r="M287" s="16" t="s">
        <v>2576</v>
      </c>
      <c r="N287" s="16" t="s">
        <v>2576</v>
      </c>
      <c r="O287" s="17" t="str">
        <f>IF(NOT("https://maps.app.goo.gl/vori1xhEio1x7ks39" = ""), HYPERLINK("https://maps.app.goo.gl/vori1xhEio1x7ks39", "موقع"), "")</f>
        <v>موقع</v>
      </c>
      <c r="P287" s="15">
        <v>32000</v>
      </c>
      <c r="Q287" s="15" t="s">
        <v>968</v>
      </c>
      <c r="R287" s="24" t="s">
        <v>2807</v>
      </c>
    </row>
    <row r="288" spans="1:18" s="18" customFormat="1" ht="100.8" x14ac:dyDescent="0.3">
      <c r="A288" s="15" t="s">
        <v>969</v>
      </c>
      <c r="B288" s="15" t="s">
        <v>20</v>
      </c>
      <c r="C288" s="15" t="s">
        <v>54</v>
      </c>
      <c r="D288" s="15" t="s">
        <v>828</v>
      </c>
      <c r="E288" s="15" t="s">
        <v>874</v>
      </c>
      <c r="F288" s="15" t="s">
        <v>875</v>
      </c>
      <c r="G288" s="15" t="s">
        <v>954</v>
      </c>
      <c r="H288" s="15" t="s">
        <v>877</v>
      </c>
      <c r="I288" s="15">
        <v>3272</v>
      </c>
      <c r="J288" s="15">
        <v>112</v>
      </c>
      <c r="K288" s="15" t="s">
        <v>32</v>
      </c>
      <c r="L288" s="15" t="s">
        <v>955</v>
      </c>
      <c r="M288" s="16" t="s">
        <v>2576</v>
      </c>
      <c r="N288" s="16" t="s">
        <v>2576</v>
      </c>
      <c r="O288" s="17" t="str">
        <f>IF(NOT("https://maps.app.goo.gl/aJVnusEN6pMP5L547" = ""), HYPERLINK("https://maps.app.goo.gl/aJVnusEN6pMP5L547", "موقع"), "")</f>
        <v>موقع</v>
      </c>
      <c r="P288" s="15">
        <v>32000</v>
      </c>
      <c r="Q288" s="15" t="s">
        <v>966</v>
      </c>
      <c r="R288" s="24" t="s">
        <v>2808</v>
      </c>
    </row>
    <row r="289" spans="1:18" s="18" customFormat="1" ht="117.6" x14ac:dyDescent="0.3">
      <c r="A289" s="15" t="s">
        <v>970</v>
      </c>
      <c r="B289" s="15" t="s">
        <v>20</v>
      </c>
      <c r="C289" s="15" t="s">
        <v>54</v>
      </c>
      <c r="D289" s="15" t="s">
        <v>828</v>
      </c>
      <c r="E289" s="15" t="s">
        <v>874</v>
      </c>
      <c r="F289" s="15" t="s">
        <v>887</v>
      </c>
      <c r="G289" s="15" t="s">
        <v>888</v>
      </c>
      <c r="H289" s="15" t="s">
        <v>889</v>
      </c>
      <c r="I289" s="15">
        <v>6594</v>
      </c>
      <c r="J289" s="15">
        <v>-102</v>
      </c>
      <c r="K289" s="15" t="s">
        <v>27</v>
      </c>
      <c r="L289" s="15" t="s">
        <v>971</v>
      </c>
      <c r="M289" s="16" t="s">
        <v>2576</v>
      </c>
      <c r="N289" s="16" t="s">
        <v>2576</v>
      </c>
      <c r="O289" s="16" t="s">
        <v>2576</v>
      </c>
      <c r="P289" s="15">
        <v>32000</v>
      </c>
      <c r="Q289" s="15" t="s">
        <v>972</v>
      </c>
      <c r="R289" s="24" t="s">
        <v>2809</v>
      </c>
    </row>
    <row r="290" spans="1:18" s="18" customFormat="1" ht="84" x14ac:dyDescent="0.3">
      <c r="A290" s="15" t="s">
        <v>973</v>
      </c>
      <c r="B290" s="15" t="s">
        <v>20</v>
      </c>
      <c r="C290" s="15" t="s">
        <v>54</v>
      </c>
      <c r="D290" s="15" t="s">
        <v>828</v>
      </c>
      <c r="E290" s="15" t="s">
        <v>974</v>
      </c>
      <c r="F290" s="15" t="s">
        <v>975</v>
      </c>
      <c r="G290" s="15" t="s">
        <v>976</v>
      </c>
      <c r="H290" s="15" t="s">
        <v>977</v>
      </c>
      <c r="I290" s="15">
        <v>1605</v>
      </c>
      <c r="J290" s="15">
        <v>131</v>
      </c>
      <c r="K290" s="15" t="s">
        <v>50</v>
      </c>
      <c r="L290" s="15" t="s">
        <v>978</v>
      </c>
      <c r="M290" s="16" t="s">
        <v>2576</v>
      </c>
      <c r="N290" s="17" t="str">
        <f>IF(NOT("https://truemarkets3d.net/3d-virtual-tour/housingbank-realestate/phase3/aq-re-100174/index.html" = ""), HYPERLINK("https://truemarkets3d.net/3d-virtual-tour/housingbank-realestate/phase3/aq-re-100174/index.html", "جولة"), "")</f>
        <v>جولة</v>
      </c>
      <c r="O290" s="17" t="str">
        <f>IF(NOT("https://maps.app.goo.gl/WaxN6ZWFE4AJ92L17" = ""), HYPERLINK("https://maps.app.goo.gl/WaxN6ZWFE4AJ92L17", "موقع"), "")</f>
        <v>موقع</v>
      </c>
      <c r="P290" s="15">
        <v>33000</v>
      </c>
      <c r="Q290" s="15" t="s">
        <v>979</v>
      </c>
      <c r="R290" s="24" t="s">
        <v>2810</v>
      </c>
    </row>
    <row r="291" spans="1:18" s="18" customFormat="1" ht="67.2" x14ac:dyDescent="0.3">
      <c r="A291" s="15" t="s">
        <v>980</v>
      </c>
      <c r="B291" s="15" t="s">
        <v>20</v>
      </c>
      <c r="C291" s="15" t="s">
        <v>54</v>
      </c>
      <c r="D291" s="15" t="s">
        <v>828</v>
      </c>
      <c r="E291" s="15" t="s">
        <v>874</v>
      </c>
      <c r="F291" s="15" t="s">
        <v>875</v>
      </c>
      <c r="G291" s="15" t="s">
        <v>901</v>
      </c>
      <c r="H291" s="15" t="s">
        <v>877</v>
      </c>
      <c r="I291" s="15">
        <v>1407</v>
      </c>
      <c r="J291" s="15">
        <v>-101</v>
      </c>
      <c r="K291" s="15" t="s">
        <v>41</v>
      </c>
      <c r="L291" s="15" t="s">
        <v>981</v>
      </c>
      <c r="M291" s="16" t="s">
        <v>2576</v>
      </c>
      <c r="N291" s="17" t="str">
        <f>IF(NOT("https://truemarkets3d.net/3d-virtual-tour/housingbank-realestate/phase3/aq-re-100323/index.html" = ""), HYPERLINK("https://truemarkets3d.net/3d-virtual-tour/housingbank-realestate/phase3/aq-re-100323/index.html", "جولة"), "")</f>
        <v>جولة</v>
      </c>
      <c r="O291" s="17" t="str">
        <f>IF(NOT("https://maps.app.goo.gl/AMmEKf5h3mgNwH1DA" = ""), HYPERLINK("https://maps.app.goo.gl/AMmEKf5h3mgNwH1DA", "موقع"), "")</f>
        <v>موقع</v>
      </c>
      <c r="P291" s="15">
        <v>33000</v>
      </c>
      <c r="Q291" s="15" t="s">
        <v>982</v>
      </c>
      <c r="R291" s="24" t="s">
        <v>2811</v>
      </c>
    </row>
    <row r="292" spans="1:18" s="18" customFormat="1" ht="100.8" x14ac:dyDescent="0.3">
      <c r="A292" s="15" t="s">
        <v>983</v>
      </c>
      <c r="B292" s="15" t="s">
        <v>20</v>
      </c>
      <c r="C292" s="15" t="s">
        <v>54</v>
      </c>
      <c r="D292" s="15" t="s">
        <v>828</v>
      </c>
      <c r="E292" s="15" t="s">
        <v>860</v>
      </c>
      <c r="F292" s="15" t="s">
        <v>893</v>
      </c>
      <c r="G292" s="15" t="s">
        <v>984</v>
      </c>
      <c r="H292" s="15" t="s">
        <v>895</v>
      </c>
      <c r="I292" s="15">
        <v>166</v>
      </c>
      <c r="J292" s="15">
        <v>112</v>
      </c>
      <c r="K292" s="15" t="s">
        <v>32</v>
      </c>
      <c r="L292" s="15" t="s">
        <v>985</v>
      </c>
      <c r="M292" s="16" t="s">
        <v>2576</v>
      </c>
      <c r="N292" s="16" t="s">
        <v>2576</v>
      </c>
      <c r="O292" s="16" t="s">
        <v>2576</v>
      </c>
      <c r="P292" s="15">
        <v>35000</v>
      </c>
      <c r="Q292" s="15" t="s">
        <v>986</v>
      </c>
      <c r="R292" s="24" t="s">
        <v>2812</v>
      </c>
    </row>
    <row r="293" spans="1:18" s="18" customFormat="1" ht="84" x14ac:dyDescent="0.3">
      <c r="A293" s="15" t="s">
        <v>987</v>
      </c>
      <c r="B293" s="15" t="s">
        <v>20</v>
      </c>
      <c r="C293" s="15" t="s">
        <v>54</v>
      </c>
      <c r="D293" s="15" t="s">
        <v>828</v>
      </c>
      <c r="E293" s="15" t="s">
        <v>874</v>
      </c>
      <c r="F293" s="15" t="s">
        <v>988</v>
      </c>
      <c r="G293" s="15" t="s">
        <v>989</v>
      </c>
      <c r="H293" s="15" t="s">
        <v>990</v>
      </c>
      <c r="I293" s="15">
        <v>1989</v>
      </c>
      <c r="J293" s="15">
        <v>-101</v>
      </c>
      <c r="K293" s="15" t="s">
        <v>27</v>
      </c>
      <c r="L293" s="15" t="s">
        <v>102</v>
      </c>
      <c r="M293" s="16" t="s">
        <v>2576</v>
      </c>
      <c r="N293" s="17" t="str">
        <f>IF(NOT("https://truemarkets3d.net/3d-virtual-tour/housingbank-realestate/phase3/aq-re-100133/index.html" = ""), HYPERLINK("https://truemarkets3d.net/3d-virtual-tour/housingbank-realestate/phase3/aq-re-100133/index.html", "جولة"), "")</f>
        <v>جولة</v>
      </c>
      <c r="O293" s="17" t="str">
        <f>IF(NOT("https://maps.app.goo.gl/MGV17BkDEptxmrii6" = ""), HYPERLINK("https://maps.app.goo.gl/MGV17BkDEptxmrii6", "موقع"), "")</f>
        <v>موقع</v>
      </c>
      <c r="P293" s="15">
        <v>36000</v>
      </c>
      <c r="Q293" s="15" t="s">
        <v>991</v>
      </c>
      <c r="R293" s="24" t="s">
        <v>2813</v>
      </c>
    </row>
    <row r="294" spans="1:18" s="18" customFormat="1" ht="134.4" x14ac:dyDescent="0.3">
      <c r="A294" s="15" t="s">
        <v>992</v>
      </c>
      <c r="B294" s="15" t="s">
        <v>20</v>
      </c>
      <c r="C294" s="15" t="s">
        <v>54</v>
      </c>
      <c r="D294" s="15" t="s">
        <v>828</v>
      </c>
      <c r="E294" s="15" t="s">
        <v>860</v>
      </c>
      <c r="F294" s="15" t="s">
        <v>861</v>
      </c>
      <c r="G294" s="15" t="s">
        <v>959</v>
      </c>
      <c r="H294" s="15" t="s">
        <v>870</v>
      </c>
      <c r="I294" s="15">
        <v>6268</v>
      </c>
      <c r="J294" s="15">
        <v>-111</v>
      </c>
      <c r="K294" s="15" t="s">
        <v>27</v>
      </c>
      <c r="L294" s="15" t="s">
        <v>993</v>
      </c>
      <c r="M294" s="16" t="s">
        <v>2576</v>
      </c>
      <c r="N294" s="17" t="str">
        <f>IF(NOT("https://truemarkets3d.net/3d-virtual-tour/housingbank-realestate/phase3/aq-re-100484/index.html" = ""), HYPERLINK("https://truemarkets3d.net/3d-virtual-tour/housingbank-realestate/phase3/aq-re-100484/index.html", "جولة"), "")</f>
        <v>جولة</v>
      </c>
      <c r="O294" s="17" t="str">
        <f>IF(NOT("https://maps.app.goo.gl/KDy3Gtuicwz5XZ1M9" = ""), HYPERLINK("https://maps.app.goo.gl/KDy3Gtuicwz5XZ1M9", "موقع"), "")</f>
        <v>موقع</v>
      </c>
      <c r="P294" s="15">
        <v>36000</v>
      </c>
      <c r="Q294" s="15" t="s">
        <v>994</v>
      </c>
      <c r="R294" s="24" t="s">
        <v>2814</v>
      </c>
    </row>
    <row r="295" spans="1:18" s="18" customFormat="1" ht="50.4" x14ac:dyDescent="0.3">
      <c r="A295" s="15" t="s">
        <v>995</v>
      </c>
      <c r="B295" s="15" t="s">
        <v>20</v>
      </c>
      <c r="C295" s="15" t="s">
        <v>54</v>
      </c>
      <c r="D295" s="15" t="s">
        <v>828</v>
      </c>
      <c r="E295" s="15" t="s">
        <v>829</v>
      </c>
      <c r="F295" s="15" t="s">
        <v>830</v>
      </c>
      <c r="G295" s="15" t="s">
        <v>996</v>
      </c>
      <c r="H295" s="15" t="s">
        <v>997</v>
      </c>
      <c r="I295" s="15">
        <v>1597</v>
      </c>
      <c r="J295" s="15">
        <v>132</v>
      </c>
      <c r="K295" s="15" t="s">
        <v>50</v>
      </c>
      <c r="L295" s="15" t="s">
        <v>126</v>
      </c>
      <c r="M295" s="16" t="s">
        <v>2576</v>
      </c>
      <c r="N295" s="17" t="str">
        <f>IF(NOT("https://truemarkets3d.net/3d-virtual-tour/housingbank-realestate/phase3/aq-re-100384/index.html" = ""), HYPERLINK("https://truemarkets3d.net/3d-virtual-tour/housingbank-realestate/phase3/aq-re-100384/index.html", "جولة"), "")</f>
        <v>جولة</v>
      </c>
      <c r="O295" s="17" t="str">
        <f>IF(NOT("https://maps.app.goo.gl/avzK77Gt6NLxUM4k8" = ""), HYPERLINK("https://maps.app.goo.gl/avzK77Gt6NLxUM4k8", "موقع"), "")</f>
        <v>موقع</v>
      </c>
      <c r="P295" s="15">
        <v>37000</v>
      </c>
      <c r="Q295" s="15" t="s">
        <v>998</v>
      </c>
      <c r="R295" s="24" t="s">
        <v>2815</v>
      </c>
    </row>
    <row r="296" spans="1:18" s="18" customFormat="1" ht="50.4" x14ac:dyDescent="0.3">
      <c r="A296" s="15" t="s">
        <v>999</v>
      </c>
      <c r="B296" s="15" t="s">
        <v>20</v>
      </c>
      <c r="C296" s="15" t="s">
        <v>54</v>
      </c>
      <c r="D296" s="15" t="s">
        <v>828</v>
      </c>
      <c r="E296" s="15" t="s">
        <v>860</v>
      </c>
      <c r="F296" s="15" t="s">
        <v>861</v>
      </c>
      <c r="G296" s="15" t="s">
        <v>959</v>
      </c>
      <c r="H296" s="15" t="s">
        <v>870</v>
      </c>
      <c r="I296" s="15">
        <v>6329</v>
      </c>
      <c r="J296" s="15">
        <v>241</v>
      </c>
      <c r="K296" s="15" t="s">
        <v>202</v>
      </c>
      <c r="L296" s="15" t="s">
        <v>1000</v>
      </c>
      <c r="M296" s="16" t="s">
        <v>2576</v>
      </c>
      <c r="N296" s="17" t="str">
        <f>IF(NOT("https://truemarkets3d.net/3d-virtual-tour/housingbank-realestate/phase3/aq-re-100345/index.html" = ""), HYPERLINK("https://truemarkets3d.net/3d-virtual-tour/housingbank-realestate/phase3/aq-re-100345/index.html", "جولة"), "")</f>
        <v>جولة</v>
      </c>
      <c r="O296" s="17" t="str">
        <f>IF(NOT("https://maps.app.goo.gl/8cAVQW4dZDPtuPu36" = ""), HYPERLINK("https://maps.app.goo.gl/8cAVQW4dZDPtuPu36", "موقع"), "")</f>
        <v>موقع</v>
      </c>
      <c r="P296" s="15">
        <v>38000</v>
      </c>
      <c r="Q296" s="15" t="s">
        <v>1001</v>
      </c>
      <c r="R296" s="24" t="s">
        <v>2816</v>
      </c>
    </row>
    <row r="297" spans="1:18" s="18" customFormat="1" ht="100.8" x14ac:dyDescent="0.3">
      <c r="A297" s="15" t="s">
        <v>1002</v>
      </c>
      <c r="B297" s="15" t="s">
        <v>20</v>
      </c>
      <c r="C297" s="15" t="s">
        <v>54</v>
      </c>
      <c r="D297" s="15" t="s">
        <v>828</v>
      </c>
      <c r="E297" s="15" t="s">
        <v>874</v>
      </c>
      <c r="F297" s="15" t="s">
        <v>875</v>
      </c>
      <c r="G297" s="15" t="s">
        <v>954</v>
      </c>
      <c r="H297" s="15" t="s">
        <v>877</v>
      </c>
      <c r="I297" s="15">
        <v>3272</v>
      </c>
      <c r="J297" s="15">
        <v>102</v>
      </c>
      <c r="K297" s="15" t="s">
        <v>41</v>
      </c>
      <c r="L297" s="15" t="s">
        <v>955</v>
      </c>
      <c r="M297" s="16" t="s">
        <v>2576</v>
      </c>
      <c r="N297" s="16" t="s">
        <v>2576</v>
      </c>
      <c r="O297" s="17" t="str">
        <f>IF(NOT("https://maps.app.goo.gl/KVbpBtAUNLD4fGf17" = ""), HYPERLINK("https://maps.app.goo.gl/KVbpBtAUNLD4fGf17", "موقع"), "")</f>
        <v>موقع</v>
      </c>
      <c r="P297" s="15">
        <v>38000</v>
      </c>
      <c r="Q297" s="15" t="s">
        <v>1003</v>
      </c>
      <c r="R297" s="24" t="s">
        <v>2817</v>
      </c>
    </row>
    <row r="298" spans="1:18" s="18" customFormat="1" ht="100.8" x14ac:dyDescent="0.3">
      <c r="A298" s="15" t="s">
        <v>1004</v>
      </c>
      <c r="B298" s="15" t="s">
        <v>20</v>
      </c>
      <c r="C298" s="15" t="s">
        <v>54</v>
      </c>
      <c r="D298" s="15" t="s">
        <v>828</v>
      </c>
      <c r="E298" s="15" t="s">
        <v>874</v>
      </c>
      <c r="F298" s="15" t="s">
        <v>887</v>
      </c>
      <c r="G298" s="15" t="s">
        <v>1005</v>
      </c>
      <c r="H298" s="15" t="s">
        <v>1006</v>
      </c>
      <c r="I298" s="15">
        <v>974</v>
      </c>
      <c r="J298" s="15">
        <v>-111</v>
      </c>
      <c r="K298" s="15" t="s">
        <v>41</v>
      </c>
      <c r="L298" s="15" t="s">
        <v>978</v>
      </c>
      <c r="M298" s="16" t="s">
        <v>2576</v>
      </c>
      <c r="N298" s="16" t="s">
        <v>2576</v>
      </c>
      <c r="O298" s="16" t="s">
        <v>2576</v>
      </c>
      <c r="P298" s="15">
        <v>39000</v>
      </c>
      <c r="Q298" s="15" t="s">
        <v>1007</v>
      </c>
      <c r="R298" s="24" t="s">
        <v>2818</v>
      </c>
    </row>
    <row r="299" spans="1:18" s="18" customFormat="1" ht="50.4" x14ac:dyDescent="0.3">
      <c r="A299" s="15" t="s">
        <v>1008</v>
      </c>
      <c r="B299" s="15" t="s">
        <v>20</v>
      </c>
      <c r="C299" s="15" t="s">
        <v>54</v>
      </c>
      <c r="D299" s="15" t="s">
        <v>828</v>
      </c>
      <c r="E299" s="15" t="s">
        <v>829</v>
      </c>
      <c r="F299" s="15" t="s">
        <v>830</v>
      </c>
      <c r="G299" s="15" t="s">
        <v>1009</v>
      </c>
      <c r="H299" s="15" t="s">
        <v>1010</v>
      </c>
      <c r="I299" s="15">
        <v>779</v>
      </c>
      <c r="J299" s="15">
        <v>102</v>
      </c>
      <c r="K299" s="15" t="s">
        <v>41</v>
      </c>
      <c r="L299" s="15" t="s">
        <v>1011</v>
      </c>
      <c r="M299" s="16" t="s">
        <v>2576</v>
      </c>
      <c r="N299" s="17" t="str">
        <f>IF(NOT("https://truemarkets3d.net/3d-virtual-tour/housingbank-realestate/phase3/aq-re-100184/index.html" = ""), HYPERLINK("https://truemarkets3d.net/3d-virtual-tour/housingbank-realestate/phase3/aq-re-100184/index.html", "جولة"), "")</f>
        <v>جولة</v>
      </c>
      <c r="O299" s="17" t="str">
        <f>IF(NOT("https://maps.app.goo.gl/YAb79zfuPzgYQsi7A" = ""), HYPERLINK("https://maps.app.goo.gl/YAb79zfuPzgYQsi7A", "موقع"), "")</f>
        <v>موقع</v>
      </c>
      <c r="P299" s="15">
        <v>39000</v>
      </c>
      <c r="Q299" s="15" t="s">
        <v>1012</v>
      </c>
      <c r="R299" s="24" t="s">
        <v>2819</v>
      </c>
    </row>
    <row r="300" spans="1:18" s="18" customFormat="1" ht="100.8" x14ac:dyDescent="0.3">
      <c r="A300" s="15" t="s">
        <v>1013</v>
      </c>
      <c r="B300" s="15" t="s">
        <v>20</v>
      </c>
      <c r="C300" s="15" t="s">
        <v>54</v>
      </c>
      <c r="D300" s="15" t="s">
        <v>828</v>
      </c>
      <c r="E300" s="15" t="s">
        <v>874</v>
      </c>
      <c r="F300" s="15" t="s">
        <v>875</v>
      </c>
      <c r="G300" s="15" t="s">
        <v>954</v>
      </c>
      <c r="H300" s="15" t="s">
        <v>877</v>
      </c>
      <c r="I300" s="15">
        <v>3272</v>
      </c>
      <c r="J300" s="15">
        <v>101</v>
      </c>
      <c r="K300" s="15" t="s">
        <v>41</v>
      </c>
      <c r="L300" s="15" t="s">
        <v>955</v>
      </c>
      <c r="M300" s="16" t="s">
        <v>2576</v>
      </c>
      <c r="N300" s="16" t="s">
        <v>2576</v>
      </c>
      <c r="O300" s="17" t="str">
        <f>IF(NOT("https://maps.app.goo.gl/KVbpBtAUNLD4fGf17" = ""), HYPERLINK("https://maps.app.goo.gl/KVbpBtAUNLD4fGf17", "موقع"), "")</f>
        <v>موقع</v>
      </c>
      <c r="P300" s="15">
        <v>39000</v>
      </c>
      <c r="Q300" s="15" t="s">
        <v>1014</v>
      </c>
      <c r="R300" s="24" t="s">
        <v>2820</v>
      </c>
    </row>
    <row r="301" spans="1:18" s="18" customFormat="1" ht="117.6" x14ac:dyDescent="0.3">
      <c r="A301" s="15" t="s">
        <v>1015</v>
      </c>
      <c r="B301" s="15" t="s">
        <v>20</v>
      </c>
      <c r="C301" s="15" t="s">
        <v>54</v>
      </c>
      <c r="D301" s="15" t="s">
        <v>828</v>
      </c>
      <c r="E301" s="15" t="s">
        <v>829</v>
      </c>
      <c r="F301" s="15" t="s">
        <v>830</v>
      </c>
      <c r="G301" s="15" t="s">
        <v>1016</v>
      </c>
      <c r="H301" s="15" t="s">
        <v>940</v>
      </c>
      <c r="I301" s="15">
        <v>397</v>
      </c>
      <c r="J301" s="15">
        <v>131</v>
      </c>
      <c r="K301" s="15" t="s">
        <v>50</v>
      </c>
      <c r="L301" s="15" t="s">
        <v>69</v>
      </c>
      <c r="M301" s="16" t="s">
        <v>2576</v>
      </c>
      <c r="N301" s="16" t="s">
        <v>2576</v>
      </c>
      <c r="O301" s="16" t="s">
        <v>2576</v>
      </c>
      <c r="P301" s="15">
        <v>40000</v>
      </c>
      <c r="Q301" s="15" t="s">
        <v>1017</v>
      </c>
      <c r="R301" s="24" t="s">
        <v>2821</v>
      </c>
    </row>
    <row r="302" spans="1:18" s="18" customFormat="1" ht="100.8" x14ac:dyDescent="0.3">
      <c r="A302" s="15" t="s">
        <v>1018</v>
      </c>
      <c r="B302" s="15" t="s">
        <v>20</v>
      </c>
      <c r="C302" s="15" t="s">
        <v>54</v>
      </c>
      <c r="D302" s="15" t="s">
        <v>828</v>
      </c>
      <c r="E302" s="15" t="s">
        <v>974</v>
      </c>
      <c r="F302" s="15" t="s">
        <v>1019</v>
      </c>
      <c r="G302" s="15" t="s">
        <v>1020</v>
      </c>
      <c r="H302" s="15" t="s">
        <v>1021</v>
      </c>
      <c r="I302" s="15">
        <v>63</v>
      </c>
      <c r="J302" s="15">
        <v>132</v>
      </c>
      <c r="K302" s="15" t="s">
        <v>50</v>
      </c>
      <c r="L302" s="15" t="s">
        <v>1022</v>
      </c>
      <c r="M302" s="16" t="s">
        <v>2576</v>
      </c>
      <c r="N302" s="16" t="s">
        <v>2576</v>
      </c>
      <c r="O302" s="17" t="str">
        <f>IF(NOT("https://maps.app.goo.gl/boHCvhcK4sWuF6V77" = ""), HYPERLINK("https://maps.app.goo.gl/boHCvhcK4sWuF6V77", "موقع"), "")</f>
        <v>موقع</v>
      </c>
      <c r="P302" s="15">
        <v>41000</v>
      </c>
      <c r="Q302" s="15" t="s">
        <v>1023</v>
      </c>
      <c r="R302" s="24" t="s">
        <v>2822</v>
      </c>
    </row>
    <row r="303" spans="1:18" s="18" customFormat="1" ht="100.8" x14ac:dyDescent="0.3">
      <c r="A303" s="15" t="s">
        <v>1024</v>
      </c>
      <c r="B303" s="15" t="s">
        <v>20</v>
      </c>
      <c r="C303" s="15" t="s">
        <v>54</v>
      </c>
      <c r="D303" s="15" t="s">
        <v>828</v>
      </c>
      <c r="E303" s="15" t="s">
        <v>974</v>
      </c>
      <c r="F303" s="15" t="s">
        <v>1019</v>
      </c>
      <c r="G303" s="15" t="s">
        <v>1020</v>
      </c>
      <c r="H303" s="15" t="s">
        <v>1021</v>
      </c>
      <c r="I303" s="15">
        <v>63</v>
      </c>
      <c r="J303" s="15">
        <v>122</v>
      </c>
      <c r="K303" s="15" t="s">
        <v>75</v>
      </c>
      <c r="L303" s="15" t="s">
        <v>1022</v>
      </c>
      <c r="M303" s="16" t="s">
        <v>2576</v>
      </c>
      <c r="N303" s="16" t="s">
        <v>2576</v>
      </c>
      <c r="O303" s="17" t="str">
        <f>IF(NOT("https://maps.app.goo.gl/boHCvhcK4sWuF6V77" = ""), HYPERLINK("https://maps.app.goo.gl/boHCvhcK4sWuF6V77", "موقع"), "")</f>
        <v>موقع</v>
      </c>
      <c r="P303" s="15">
        <v>41000</v>
      </c>
      <c r="Q303" s="15" t="s">
        <v>1025</v>
      </c>
      <c r="R303" s="24" t="s">
        <v>2823</v>
      </c>
    </row>
    <row r="304" spans="1:18" s="18" customFormat="1" ht="100.8" x14ac:dyDescent="0.3">
      <c r="A304" s="15" t="s">
        <v>1026</v>
      </c>
      <c r="B304" s="15" t="s">
        <v>20</v>
      </c>
      <c r="C304" s="15" t="s">
        <v>54</v>
      </c>
      <c r="D304" s="15" t="s">
        <v>828</v>
      </c>
      <c r="E304" s="15" t="s">
        <v>874</v>
      </c>
      <c r="F304" s="15" t="s">
        <v>988</v>
      </c>
      <c r="G304" s="15" t="s">
        <v>1027</v>
      </c>
      <c r="H304" s="15" t="s">
        <v>990</v>
      </c>
      <c r="I304" s="15">
        <v>499</v>
      </c>
      <c r="J304" s="15">
        <v>-101</v>
      </c>
      <c r="K304" s="15" t="s">
        <v>27</v>
      </c>
      <c r="L304" s="15" t="s">
        <v>1028</v>
      </c>
      <c r="M304" s="17" t="str">
        <f>IF(NOT("https://www.youtube.com/embed/U9vzjEodZPg" = ""), HYPERLINK("https://www.youtube.com/embed/U9vzjEodZPg", "فيديو"), "")</f>
        <v>فيديو</v>
      </c>
      <c r="N304" s="17" t="str">
        <f>IF(NOT("https://truemarkets3d.net/3d-virtual-tour/housingbank-realestate/phase3/aq-re-100535/index.html" = ""), HYPERLINK("https://truemarkets3d.net/3d-virtual-tour/housingbank-realestate/phase3/aq-re-100535/index.html", "جولة"), "")</f>
        <v>جولة</v>
      </c>
      <c r="O304" s="17" t="str">
        <f>IF(NOT("https://maps.app.goo.gl/MJJ1DuF6Zs6u4YJS8" = ""), HYPERLINK("https://maps.app.goo.gl/MJJ1DuF6Zs6u4YJS8", "موقع"), "")</f>
        <v>موقع</v>
      </c>
      <c r="P304" s="15">
        <v>42000</v>
      </c>
      <c r="Q304" s="15" t="s">
        <v>1029</v>
      </c>
      <c r="R304" s="24" t="s">
        <v>2824</v>
      </c>
    </row>
    <row r="305" spans="1:18" s="18" customFormat="1" ht="117.6" x14ac:dyDescent="0.3">
      <c r="A305" s="15" t="s">
        <v>1030</v>
      </c>
      <c r="B305" s="15" t="s">
        <v>20</v>
      </c>
      <c r="C305" s="15" t="s">
        <v>54</v>
      </c>
      <c r="D305" s="15" t="s">
        <v>828</v>
      </c>
      <c r="E305" s="15" t="s">
        <v>874</v>
      </c>
      <c r="F305" s="15" t="s">
        <v>887</v>
      </c>
      <c r="G305" s="15" t="s">
        <v>1031</v>
      </c>
      <c r="H305" s="15" t="s">
        <v>1032</v>
      </c>
      <c r="I305" s="15">
        <v>2488</v>
      </c>
      <c r="J305" s="15">
        <v>-101</v>
      </c>
      <c r="K305" s="15" t="s">
        <v>27</v>
      </c>
      <c r="L305" s="15" t="s">
        <v>219</v>
      </c>
      <c r="M305" s="16" t="s">
        <v>2576</v>
      </c>
      <c r="N305" s="17" t="str">
        <f>IF(NOT("https://truemarkets3d.net/3d-virtual-tour/housingbank-realestate/phase3/aq-re-100027/index.html" = ""), HYPERLINK("https://truemarkets3d.net/3d-virtual-tour/housingbank-realestate/phase3/aq-re-100027/index.html", "جولة"), "")</f>
        <v>جولة</v>
      </c>
      <c r="O305" s="17" t="str">
        <f>IF(NOT("https://maps.app.goo.gl/pzVXtMBLw2zSNrni6" = ""), HYPERLINK("https://maps.app.goo.gl/pzVXtMBLw2zSNrni6", "موقع"), "")</f>
        <v>موقع</v>
      </c>
      <c r="P305" s="15">
        <v>43000</v>
      </c>
      <c r="Q305" s="15" t="s">
        <v>1033</v>
      </c>
      <c r="R305" s="24" t="s">
        <v>2825</v>
      </c>
    </row>
    <row r="306" spans="1:18" s="18" customFormat="1" ht="67.2" x14ac:dyDescent="0.3">
      <c r="A306" s="15" t="s">
        <v>1034</v>
      </c>
      <c r="B306" s="15" t="s">
        <v>20</v>
      </c>
      <c r="C306" s="15" t="s">
        <v>54</v>
      </c>
      <c r="D306" s="15" t="s">
        <v>828</v>
      </c>
      <c r="E306" s="15" t="s">
        <v>860</v>
      </c>
      <c r="F306" s="15" t="s">
        <v>1035</v>
      </c>
      <c r="G306" s="15" t="s">
        <v>1036</v>
      </c>
      <c r="H306" s="15" t="s">
        <v>1037</v>
      </c>
      <c r="I306" s="15">
        <v>1213</v>
      </c>
      <c r="J306" s="15">
        <v>-102</v>
      </c>
      <c r="K306" s="15" t="s">
        <v>27</v>
      </c>
      <c r="L306" s="15" t="s">
        <v>1038</v>
      </c>
      <c r="M306" s="16" t="s">
        <v>2576</v>
      </c>
      <c r="N306" s="17" t="str">
        <f>IF(NOT("https://truemarkets3d.net/3d-virtual-tour/housingbank-realestate/phase3/aq-re-100130/index.html" = ""), HYPERLINK("https://truemarkets3d.net/3d-virtual-tour/housingbank-realestate/phase3/aq-re-100130/index.html", "جولة"), "")</f>
        <v>جولة</v>
      </c>
      <c r="O306" s="17" t="str">
        <f>IF(NOT("https://maps.app.goo.gl/b1Hc8pAfjoevcjWLA" = ""), HYPERLINK("https://maps.app.goo.gl/b1Hc8pAfjoevcjWLA", "موقع"), "")</f>
        <v>موقع</v>
      </c>
      <c r="P306" s="15">
        <v>43000</v>
      </c>
      <c r="Q306" s="15" t="s">
        <v>1039</v>
      </c>
      <c r="R306" s="24" t="s">
        <v>2826</v>
      </c>
    </row>
    <row r="307" spans="1:18" s="18" customFormat="1" ht="50.4" x14ac:dyDescent="0.3">
      <c r="A307" s="15" t="s">
        <v>1040</v>
      </c>
      <c r="B307" s="15" t="s">
        <v>20</v>
      </c>
      <c r="C307" s="15" t="s">
        <v>54</v>
      </c>
      <c r="D307" s="15" t="s">
        <v>828</v>
      </c>
      <c r="E307" s="15" t="s">
        <v>974</v>
      </c>
      <c r="F307" s="15" t="s">
        <v>1041</v>
      </c>
      <c r="G307" s="15" t="s">
        <v>1042</v>
      </c>
      <c r="H307" s="15" t="s">
        <v>1043</v>
      </c>
      <c r="I307" s="15">
        <v>309</v>
      </c>
      <c r="J307" s="15">
        <v>-112</v>
      </c>
      <c r="K307" s="15" t="s">
        <v>27</v>
      </c>
      <c r="L307" s="15" t="s">
        <v>155</v>
      </c>
      <c r="M307" s="16" t="s">
        <v>2576</v>
      </c>
      <c r="N307" s="17" t="str">
        <f>IF(NOT("https://truemarkets3d.net/3d-virtual-tour/housingbank-realestate/phase3/aq-re-100146/index.html" = ""), HYPERLINK("https://truemarkets3d.net/3d-virtual-tour/housingbank-realestate/phase3/aq-re-100146/index.html", "جولة"), "")</f>
        <v>جولة</v>
      </c>
      <c r="O307" s="17" t="str">
        <f>IF(NOT("https://maps.app.goo.gl/211YwpBmvUgA5Kkq5" = ""), HYPERLINK("https://maps.app.goo.gl/211YwpBmvUgA5Kkq5", "موقع"), "")</f>
        <v>موقع</v>
      </c>
      <c r="P307" s="15">
        <v>43000</v>
      </c>
      <c r="Q307" s="15" t="s">
        <v>1044</v>
      </c>
      <c r="R307" s="24" t="s">
        <v>2827</v>
      </c>
    </row>
    <row r="308" spans="1:18" s="18" customFormat="1" ht="100.8" x14ac:dyDescent="0.3">
      <c r="A308" s="15" t="s">
        <v>1045</v>
      </c>
      <c r="B308" s="15" t="s">
        <v>20</v>
      </c>
      <c r="C308" s="15" t="s">
        <v>54</v>
      </c>
      <c r="D308" s="15" t="s">
        <v>828</v>
      </c>
      <c r="E308" s="15" t="s">
        <v>874</v>
      </c>
      <c r="F308" s="15" t="s">
        <v>988</v>
      </c>
      <c r="G308" s="15" t="s">
        <v>1046</v>
      </c>
      <c r="H308" s="15" t="s">
        <v>990</v>
      </c>
      <c r="I308" s="15">
        <v>997</v>
      </c>
      <c r="J308" s="15">
        <v>112</v>
      </c>
      <c r="K308" s="15" t="s">
        <v>32</v>
      </c>
      <c r="L308" s="15" t="s">
        <v>616</v>
      </c>
      <c r="M308" s="16" t="s">
        <v>2576</v>
      </c>
      <c r="N308" s="16" t="s">
        <v>2576</v>
      </c>
      <c r="O308" s="16" t="s">
        <v>2576</v>
      </c>
      <c r="P308" s="15">
        <v>43000</v>
      </c>
      <c r="Q308" s="15" t="s">
        <v>1047</v>
      </c>
      <c r="R308" s="24" t="s">
        <v>2828</v>
      </c>
    </row>
    <row r="309" spans="1:18" s="18" customFormat="1" ht="67.2" x14ac:dyDescent="0.3">
      <c r="A309" s="15" t="s">
        <v>1048</v>
      </c>
      <c r="B309" s="15" t="s">
        <v>20</v>
      </c>
      <c r="C309" s="15" t="s">
        <v>54</v>
      </c>
      <c r="D309" s="15" t="s">
        <v>828</v>
      </c>
      <c r="E309" s="15" t="s">
        <v>974</v>
      </c>
      <c r="F309" s="15" t="s">
        <v>1049</v>
      </c>
      <c r="G309" s="15" t="s">
        <v>1050</v>
      </c>
      <c r="H309" s="15" t="s">
        <v>1051</v>
      </c>
      <c r="I309" s="15">
        <v>47</v>
      </c>
      <c r="J309" s="15">
        <v>121</v>
      </c>
      <c r="K309" s="15" t="s">
        <v>75</v>
      </c>
      <c r="L309" s="15" t="s">
        <v>1052</v>
      </c>
      <c r="M309" s="16" t="s">
        <v>2576</v>
      </c>
      <c r="N309" s="17" t="str">
        <f>IF(NOT("https://truemarkets3d.net/3d-virtual-tour/housingbank-realestate/phase3/aq-re-100157/index.html" = ""), HYPERLINK("https://truemarkets3d.net/3d-virtual-tour/housingbank-realestate/phase3/aq-re-100157/index.html", "جولة"), "")</f>
        <v>جولة</v>
      </c>
      <c r="O309" s="17" t="str">
        <f>IF(NOT("https://maps.app.goo.gl/UWZgTtN1KouUbsRM9" = ""), HYPERLINK("https://maps.app.goo.gl/UWZgTtN1KouUbsRM9", "موقع"), "")</f>
        <v>موقع</v>
      </c>
      <c r="P309" s="15">
        <v>43000</v>
      </c>
      <c r="Q309" s="15" t="s">
        <v>1053</v>
      </c>
      <c r="R309" s="24" t="s">
        <v>2829</v>
      </c>
    </row>
    <row r="310" spans="1:18" s="18" customFormat="1" ht="117.6" x14ac:dyDescent="0.3">
      <c r="A310" s="15" t="s">
        <v>1054</v>
      </c>
      <c r="B310" s="15" t="s">
        <v>20</v>
      </c>
      <c r="C310" s="15" t="s">
        <v>54</v>
      </c>
      <c r="D310" s="15" t="s">
        <v>828</v>
      </c>
      <c r="E310" s="15" t="s">
        <v>874</v>
      </c>
      <c r="F310" s="15" t="s">
        <v>887</v>
      </c>
      <c r="G310" s="15" t="s">
        <v>888</v>
      </c>
      <c r="H310" s="15" t="s">
        <v>889</v>
      </c>
      <c r="I310" s="15">
        <v>5170</v>
      </c>
      <c r="J310" s="15">
        <v>131</v>
      </c>
      <c r="K310" s="15" t="s">
        <v>50</v>
      </c>
      <c r="L310" s="15" t="s">
        <v>1055</v>
      </c>
      <c r="M310" s="16" t="s">
        <v>2576</v>
      </c>
      <c r="N310" s="17" t="str">
        <f>IF(NOT("https://truemarkets3d.net/3d-virtual-tour/housingbank-realestate/phase3/aq-re-100541/index.html" = ""), HYPERLINK("https://truemarkets3d.net/3d-virtual-tour/housingbank-realestate/phase3/aq-re-100541/index.html", "جولة"), "")</f>
        <v>جولة</v>
      </c>
      <c r="O310" s="17" t="str">
        <f>IF(NOT("https://maps.app.goo.gl/UiNy15a7zMz9Q7ya8" = ""), HYPERLINK("https://maps.app.goo.gl/UiNy15a7zMz9Q7ya8", "موقع"), "")</f>
        <v>موقع</v>
      </c>
      <c r="P310" s="15">
        <v>44000</v>
      </c>
      <c r="Q310" s="15" t="s">
        <v>1056</v>
      </c>
      <c r="R310" s="24" t="s">
        <v>2830</v>
      </c>
    </row>
    <row r="311" spans="1:18" s="18" customFormat="1" ht="100.8" x14ac:dyDescent="0.3">
      <c r="A311" s="15" t="s">
        <v>1057</v>
      </c>
      <c r="B311" s="15" t="s">
        <v>20</v>
      </c>
      <c r="C311" s="15" t="s">
        <v>54</v>
      </c>
      <c r="D311" s="15" t="s">
        <v>828</v>
      </c>
      <c r="E311" s="15" t="s">
        <v>974</v>
      </c>
      <c r="F311" s="15" t="s">
        <v>1019</v>
      </c>
      <c r="G311" s="15" t="s">
        <v>1020</v>
      </c>
      <c r="H311" s="15" t="s">
        <v>1021</v>
      </c>
      <c r="I311" s="15">
        <v>63</v>
      </c>
      <c r="J311" s="15">
        <v>102</v>
      </c>
      <c r="K311" s="15" t="s">
        <v>41</v>
      </c>
      <c r="L311" s="15" t="s">
        <v>1022</v>
      </c>
      <c r="M311" s="16" t="s">
        <v>2576</v>
      </c>
      <c r="N311" s="16" t="s">
        <v>2576</v>
      </c>
      <c r="O311" s="17" t="str">
        <f>IF(NOT("https://maps.app.goo.gl/boHCvhcK4sWuF6V77" = ""), HYPERLINK("https://maps.app.goo.gl/boHCvhcK4sWuF6V77", "موقع"), "")</f>
        <v>موقع</v>
      </c>
      <c r="P311" s="15">
        <v>44000</v>
      </c>
      <c r="Q311" s="15" t="s">
        <v>1058</v>
      </c>
      <c r="R311" s="24" t="s">
        <v>2831</v>
      </c>
    </row>
    <row r="312" spans="1:18" s="18" customFormat="1" ht="100.8" x14ac:dyDescent="0.3">
      <c r="A312" s="15" t="s">
        <v>1059</v>
      </c>
      <c r="B312" s="15" t="s">
        <v>20</v>
      </c>
      <c r="C312" s="15" t="s">
        <v>54</v>
      </c>
      <c r="D312" s="15" t="s">
        <v>828</v>
      </c>
      <c r="E312" s="15" t="s">
        <v>974</v>
      </c>
      <c r="F312" s="15" t="s">
        <v>1019</v>
      </c>
      <c r="G312" s="15" t="s">
        <v>1020</v>
      </c>
      <c r="H312" s="15" t="s">
        <v>1021</v>
      </c>
      <c r="I312" s="15">
        <v>63</v>
      </c>
      <c r="J312" s="15">
        <v>112</v>
      </c>
      <c r="K312" s="15" t="s">
        <v>32</v>
      </c>
      <c r="L312" s="15" t="s">
        <v>1022</v>
      </c>
      <c r="M312" s="16" t="s">
        <v>2576</v>
      </c>
      <c r="N312" s="16" t="s">
        <v>2576</v>
      </c>
      <c r="O312" s="17" t="str">
        <f>IF(NOT("https://maps.app.goo.gl/boHCvhcK4sWuF6V77" = ""), HYPERLINK("https://maps.app.goo.gl/boHCvhcK4sWuF6V77", "موقع"), "")</f>
        <v>موقع</v>
      </c>
      <c r="P312" s="15">
        <v>44000</v>
      </c>
      <c r="Q312" s="15" t="s">
        <v>1060</v>
      </c>
      <c r="R312" s="24" t="s">
        <v>2832</v>
      </c>
    </row>
    <row r="313" spans="1:18" s="18" customFormat="1" ht="100.8" x14ac:dyDescent="0.3">
      <c r="A313" s="15" t="s">
        <v>1061</v>
      </c>
      <c r="B313" s="15" t="s">
        <v>20</v>
      </c>
      <c r="C313" s="15" t="s">
        <v>54</v>
      </c>
      <c r="D313" s="15" t="s">
        <v>828</v>
      </c>
      <c r="E313" s="15" t="s">
        <v>974</v>
      </c>
      <c r="F313" s="15" t="s">
        <v>1019</v>
      </c>
      <c r="G313" s="15" t="s">
        <v>1020</v>
      </c>
      <c r="H313" s="15" t="s">
        <v>1021</v>
      </c>
      <c r="I313" s="15">
        <v>63</v>
      </c>
      <c r="J313" s="15">
        <v>-112</v>
      </c>
      <c r="K313" s="15" t="s">
        <v>27</v>
      </c>
      <c r="L313" s="15" t="s">
        <v>775</v>
      </c>
      <c r="M313" s="16" t="s">
        <v>2576</v>
      </c>
      <c r="N313" s="16" t="s">
        <v>2576</v>
      </c>
      <c r="O313" s="17" t="str">
        <f>IF(NOT("https://maps.app.goo.gl/boHCvhcK4sWuF6V77" = ""), HYPERLINK("https://maps.app.goo.gl/boHCvhcK4sWuF6V77", "موقع"), "")</f>
        <v>موقع</v>
      </c>
      <c r="P313" s="15">
        <v>44000</v>
      </c>
      <c r="Q313" s="15" t="s">
        <v>1062</v>
      </c>
      <c r="R313" s="24" t="s">
        <v>2833</v>
      </c>
    </row>
    <row r="314" spans="1:18" s="18" customFormat="1" ht="117.6" x14ac:dyDescent="0.3">
      <c r="A314" s="15" t="s">
        <v>1063</v>
      </c>
      <c r="B314" s="15" t="s">
        <v>20</v>
      </c>
      <c r="C314" s="15" t="s">
        <v>54</v>
      </c>
      <c r="D314" s="15" t="s">
        <v>828</v>
      </c>
      <c r="E314" s="15" t="s">
        <v>974</v>
      </c>
      <c r="F314" s="15" t="s">
        <v>1049</v>
      </c>
      <c r="G314" s="15" t="s">
        <v>1064</v>
      </c>
      <c r="H314" s="15" t="s">
        <v>225</v>
      </c>
      <c r="I314" s="15">
        <v>267</v>
      </c>
      <c r="J314" s="15">
        <v>132</v>
      </c>
      <c r="K314" s="15" t="s">
        <v>50</v>
      </c>
      <c r="L314" s="15" t="s">
        <v>780</v>
      </c>
      <c r="M314" s="17" t="str">
        <f>IF(NOT("https://www.youtube.com/embed/w5LDp-sbq7U" = ""), HYPERLINK("https://www.youtube.com/embed/w5LDp-sbq7U", "فيديو"), "")</f>
        <v>فيديو</v>
      </c>
      <c r="N314" s="17" t="str">
        <f>IF(NOT("https://truemarkets3d.net/3d-virtual-tour/housingbank-realestate/phase3/aq-re-100711/index.html" = ""), HYPERLINK("https://truemarkets3d.net/3d-virtual-tour/housingbank-realestate/phase3/aq-re-100711/index.html", "جولة"), "")</f>
        <v>جولة</v>
      </c>
      <c r="O314" s="17" t="str">
        <f>IF(NOT("https://maps.app.goo.gl/jYFKLPUhbgENKsww7" = ""), HYPERLINK("https://maps.app.goo.gl/jYFKLPUhbgENKsww7", "موقع"), "")</f>
        <v>موقع</v>
      </c>
      <c r="P314" s="15">
        <v>45000</v>
      </c>
      <c r="Q314" s="15" t="s">
        <v>1065</v>
      </c>
      <c r="R314" s="24" t="s">
        <v>2834</v>
      </c>
    </row>
    <row r="315" spans="1:18" s="18" customFormat="1" ht="100.8" x14ac:dyDescent="0.3">
      <c r="A315" s="15" t="s">
        <v>1066</v>
      </c>
      <c r="B315" s="15" t="s">
        <v>20</v>
      </c>
      <c r="C315" s="15" t="s">
        <v>54</v>
      </c>
      <c r="D315" s="15" t="s">
        <v>828</v>
      </c>
      <c r="E315" s="15" t="s">
        <v>829</v>
      </c>
      <c r="F315" s="15" t="s">
        <v>830</v>
      </c>
      <c r="G315" s="15" t="s">
        <v>996</v>
      </c>
      <c r="H315" s="15" t="s">
        <v>997</v>
      </c>
      <c r="I315" s="15">
        <v>1570</v>
      </c>
      <c r="J315" s="15">
        <v>-103</v>
      </c>
      <c r="K315" s="15" t="s">
        <v>27</v>
      </c>
      <c r="L315" s="15" t="s">
        <v>927</v>
      </c>
      <c r="M315" s="16" t="s">
        <v>2576</v>
      </c>
      <c r="N315" s="17" t="str">
        <f>IF(NOT("https://truemarkets3d.net/3d-virtual-tour/housingbank-realestate/phase3/aq-re-100014/index.html" = ""), HYPERLINK("https://truemarkets3d.net/3d-virtual-tour/housingbank-realestate/phase3/aq-re-100014/index.html", "جولة"), "")</f>
        <v>جولة</v>
      </c>
      <c r="O315" s="17" t="str">
        <f>IF(NOT("https://maps.app.goo.gl/8TyRfcepVexCGndS9" = ""), HYPERLINK("https://maps.app.goo.gl/8TyRfcepVexCGndS9", "موقع"), "")</f>
        <v>موقع</v>
      </c>
      <c r="P315" s="15">
        <v>46000</v>
      </c>
      <c r="Q315" s="15" t="s">
        <v>1067</v>
      </c>
      <c r="R315" s="24" t="s">
        <v>2835</v>
      </c>
    </row>
    <row r="316" spans="1:18" s="18" customFormat="1" ht="67.2" x14ac:dyDescent="0.3">
      <c r="A316" s="15" t="s">
        <v>1068</v>
      </c>
      <c r="B316" s="15" t="s">
        <v>20</v>
      </c>
      <c r="C316" s="15" t="s">
        <v>54</v>
      </c>
      <c r="D316" s="15" t="s">
        <v>828</v>
      </c>
      <c r="E316" s="15" t="s">
        <v>974</v>
      </c>
      <c r="F316" s="15" t="s">
        <v>1049</v>
      </c>
      <c r="G316" s="15" t="s">
        <v>1064</v>
      </c>
      <c r="H316" s="15"/>
      <c r="I316" s="15">
        <v>267</v>
      </c>
      <c r="J316" s="15">
        <v>134</v>
      </c>
      <c r="K316" s="15" t="s">
        <v>50</v>
      </c>
      <c r="L316" s="15" t="s">
        <v>296</v>
      </c>
      <c r="M316" s="16" t="s">
        <v>2576</v>
      </c>
      <c r="N316" s="17" t="str">
        <f>IF(NOT("https://truemarkets3d.net/3d-virtual-tour/housingbank-realestate/phase3/aq-re-100169/index.html" = ""), HYPERLINK("https://truemarkets3d.net/3d-virtual-tour/housingbank-realestate/phase3/aq-re-100169/index.html", "جولة"), "")</f>
        <v>جولة</v>
      </c>
      <c r="O316" s="17" t="str">
        <f>IF(NOT("https://maps.app.goo.gl/peiScTgvKRJSFmbp7" = ""), HYPERLINK("https://maps.app.goo.gl/peiScTgvKRJSFmbp7", "موقع"), "")</f>
        <v>موقع</v>
      </c>
      <c r="P316" s="15">
        <v>46000</v>
      </c>
      <c r="Q316" s="15" t="s">
        <v>1069</v>
      </c>
      <c r="R316" s="24" t="s">
        <v>2836</v>
      </c>
    </row>
    <row r="317" spans="1:18" s="18" customFormat="1" ht="100.8" x14ac:dyDescent="0.3">
      <c r="A317" s="15" t="s">
        <v>1070</v>
      </c>
      <c r="B317" s="15" t="s">
        <v>20</v>
      </c>
      <c r="C317" s="15" t="s">
        <v>54</v>
      </c>
      <c r="D317" s="15" t="s">
        <v>828</v>
      </c>
      <c r="E317" s="15" t="s">
        <v>874</v>
      </c>
      <c r="F317" s="15" t="s">
        <v>988</v>
      </c>
      <c r="G317" s="15" t="s">
        <v>1027</v>
      </c>
      <c r="H317" s="15" t="s">
        <v>990</v>
      </c>
      <c r="I317" s="15">
        <v>2779</v>
      </c>
      <c r="J317" s="15">
        <v>132</v>
      </c>
      <c r="K317" s="15" t="s">
        <v>50</v>
      </c>
      <c r="L317" s="15" t="s">
        <v>1071</v>
      </c>
      <c r="M317" s="16" t="s">
        <v>2576</v>
      </c>
      <c r="N317" s="16" t="s">
        <v>2576</v>
      </c>
      <c r="O317" s="17" t="str">
        <f>IF(NOT("https://maps.app.goo.gl/7EN8Zya1qa4zmhRH9" = ""), HYPERLINK("https://maps.app.goo.gl/7EN8Zya1qa4zmhRH9", "موقع"), "")</f>
        <v>موقع</v>
      </c>
      <c r="P317" s="15">
        <v>47000</v>
      </c>
      <c r="Q317" s="15" t="s">
        <v>1072</v>
      </c>
      <c r="R317" s="24" t="s">
        <v>2837</v>
      </c>
    </row>
    <row r="318" spans="1:18" s="18" customFormat="1" ht="100.8" x14ac:dyDescent="0.3">
      <c r="A318" s="15" t="s">
        <v>1073</v>
      </c>
      <c r="B318" s="15" t="s">
        <v>20</v>
      </c>
      <c r="C318" s="15" t="s">
        <v>54</v>
      </c>
      <c r="D318" s="15" t="s">
        <v>828</v>
      </c>
      <c r="E318" s="15" t="s">
        <v>874</v>
      </c>
      <c r="F318" s="15" t="s">
        <v>887</v>
      </c>
      <c r="G318" s="15" t="s">
        <v>888</v>
      </c>
      <c r="H318" s="15" t="s">
        <v>1006</v>
      </c>
      <c r="I318" s="15">
        <v>6762</v>
      </c>
      <c r="J318" s="15">
        <v>-101</v>
      </c>
      <c r="K318" s="15" t="s">
        <v>41</v>
      </c>
      <c r="L318" s="15" t="s">
        <v>1028</v>
      </c>
      <c r="M318" s="16" t="s">
        <v>2576</v>
      </c>
      <c r="N318" s="16" t="s">
        <v>2576</v>
      </c>
      <c r="O318" s="17" t="str">
        <f>IF(NOT("https://maps.app.goo.gl/1rqMktQnzQcfXMkH8" = ""), HYPERLINK("https://maps.app.goo.gl/1rqMktQnzQcfXMkH8", "موقع"), "")</f>
        <v>موقع</v>
      </c>
      <c r="P318" s="15">
        <v>47000</v>
      </c>
      <c r="Q318" s="15" t="s">
        <v>1074</v>
      </c>
      <c r="R318" s="24" t="s">
        <v>2838</v>
      </c>
    </row>
    <row r="319" spans="1:18" s="18" customFormat="1" ht="50.4" x14ac:dyDescent="0.3">
      <c r="A319" s="15" t="s">
        <v>1075</v>
      </c>
      <c r="B319" s="15" t="s">
        <v>20</v>
      </c>
      <c r="C319" s="15" t="s">
        <v>54</v>
      </c>
      <c r="D319" s="15" t="s">
        <v>828</v>
      </c>
      <c r="E319" s="15" t="s">
        <v>874</v>
      </c>
      <c r="F319" s="15" t="s">
        <v>988</v>
      </c>
      <c r="G319" s="15" t="s">
        <v>1027</v>
      </c>
      <c r="H319" s="15" t="s">
        <v>990</v>
      </c>
      <c r="I319" s="15">
        <v>224</v>
      </c>
      <c r="J319" s="15">
        <v>131</v>
      </c>
      <c r="K319" s="15" t="s">
        <v>50</v>
      </c>
      <c r="L319" s="15" t="s">
        <v>890</v>
      </c>
      <c r="M319" s="16" t="s">
        <v>2576</v>
      </c>
      <c r="N319" s="16" t="s">
        <v>2576</v>
      </c>
      <c r="O319" s="16" t="s">
        <v>2576</v>
      </c>
      <c r="P319" s="15">
        <v>47000</v>
      </c>
      <c r="Q319" s="15" t="s">
        <v>1076</v>
      </c>
      <c r="R319" s="24" t="s">
        <v>2839</v>
      </c>
    </row>
    <row r="320" spans="1:18" s="18" customFormat="1" ht="117.6" x14ac:dyDescent="0.3">
      <c r="A320" s="15" t="s">
        <v>1077</v>
      </c>
      <c r="B320" s="15" t="s">
        <v>20</v>
      </c>
      <c r="C320" s="15" t="s">
        <v>54</v>
      </c>
      <c r="D320" s="15" t="s">
        <v>828</v>
      </c>
      <c r="E320" s="15" t="s">
        <v>874</v>
      </c>
      <c r="F320" s="15" t="s">
        <v>988</v>
      </c>
      <c r="G320" s="15" t="s">
        <v>989</v>
      </c>
      <c r="H320" s="15" t="s">
        <v>990</v>
      </c>
      <c r="I320" s="15">
        <v>1489</v>
      </c>
      <c r="J320" s="15">
        <v>-101</v>
      </c>
      <c r="K320" s="15" t="s">
        <v>27</v>
      </c>
      <c r="L320" s="15" t="s">
        <v>1078</v>
      </c>
      <c r="M320" s="16" t="s">
        <v>2576</v>
      </c>
      <c r="N320" s="17" t="str">
        <f>IF(NOT("https://truemarkets3d.net/3d-virtual-tour/housingbank-realestate/phase3/aq-re-100478/index.html" = ""), HYPERLINK("https://truemarkets3d.net/3d-virtual-tour/housingbank-realestate/phase3/aq-re-100478/index.html", "جولة"), "")</f>
        <v>جولة</v>
      </c>
      <c r="O320" s="17" t="str">
        <f>IF(NOT("https://maps.app.goo.gl/eZrUbqiQZUf7VrZr7" = ""), HYPERLINK("https://maps.app.goo.gl/eZrUbqiQZUf7VrZr7", "موقع"), "")</f>
        <v>موقع</v>
      </c>
      <c r="P320" s="15">
        <v>47000</v>
      </c>
      <c r="Q320" s="15" t="s">
        <v>1079</v>
      </c>
      <c r="R320" s="24" t="s">
        <v>2840</v>
      </c>
    </row>
    <row r="321" spans="1:18" s="18" customFormat="1" ht="100.8" x14ac:dyDescent="0.3">
      <c r="A321" s="15" t="s">
        <v>1080</v>
      </c>
      <c r="B321" s="15" t="s">
        <v>20</v>
      </c>
      <c r="C321" s="15" t="s">
        <v>54</v>
      </c>
      <c r="D321" s="15" t="s">
        <v>828</v>
      </c>
      <c r="E321" s="15" t="s">
        <v>874</v>
      </c>
      <c r="F321" s="15" t="s">
        <v>988</v>
      </c>
      <c r="G321" s="15" t="s">
        <v>989</v>
      </c>
      <c r="H321" s="15" t="s">
        <v>990</v>
      </c>
      <c r="I321" s="15">
        <v>1175</v>
      </c>
      <c r="J321" s="15">
        <v>122</v>
      </c>
      <c r="K321" s="15" t="s">
        <v>75</v>
      </c>
      <c r="L321" s="15" t="s">
        <v>155</v>
      </c>
      <c r="M321" s="16" t="s">
        <v>2576</v>
      </c>
      <c r="N321" s="16" t="s">
        <v>2576</v>
      </c>
      <c r="O321" s="16" t="s">
        <v>2576</v>
      </c>
      <c r="P321" s="15">
        <v>47000</v>
      </c>
      <c r="Q321" s="15" t="s">
        <v>1081</v>
      </c>
      <c r="R321" s="24" t="s">
        <v>2841</v>
      </c>
    </row>
    <row r="322" spans="1:18" s="18" customFormat="1" ht="117.6" x14ac:dyDescent="0.3">
      <c r="A322" s="15" t="s">
        <v>1082</v>
      </c>
      <c r="B322" s="15" t="s">
        <v>20</v>
      </c>
      <c r="C322" s="15" t="s">
        <v>54</v>
      </c>
      <c r="D322" s="15" t="s">
        <v>828</v>
      </c>
      <c r="E322" s="15" t="s">
        <v>860</v>
      </c>
      <c r="F322" s="15" t="s">
        <v>861</v>
      </c>
      <c r="G322" s="15" t="s">
        <v>1083</v>
      </c>
      <c r="H322" s="15" t="s">
        <v>1084</v>
      </c>
      <c r="I322" s="15">
        <v>1613</v>
      </c>
      <c r="J322" s="15">
        <v>122</v>
      </c>
      <c r="K322" s="15" t="s">
        <v>75</v>
      </c>
      <c r="L322" s="15" t="s">
        <v>1085</v>
      </c>
      <c r="M322" s="16" t="s">
        <v>2576</v>
      </c>
      <c r="N322" s="17" t="str">
        <f>IF(NOT("https://truemarkets3d.net/3d-virtual-tour/housingbank-realestate/phase3/aq-re-100550/index.html" = ""), HYPERLINK("https://truemarkets3d.net/3d-virtual-tour/housingbank-realestate/phase3/aq-re-100550/index.html", "جولة"), "")</f>
        <v>جولة</v>
      </c>
      <c r="O322" s="17" t="str">
        <f>IF(NOT("https://maps.app.goo.gl/C8CZpFrFQDzqTPbB9" = ""), HYPERLINK("https://maps.app.goo.gl/C8CZpFrFQDzqTPbB9", "موقع"), "")</f>
        <v>موقع</v>
      </c>
      <c r="P322" s="15">
        <v>47000</v>
      </c>
      <c r="Q322" s="15" t="s">
        <v>1086</v>
      </c>
      <c r="R322" s="24" t="s">
        <v>2842</v>
      </c>
    </row>
    <row r="323" spans="1:18" s="18" customFormat="1" ht="100.8" x14ac:dyDescent="0.3">
      <c r="A323" s="15" t="s">
        <v>1087</v>
      </c>
      <c r="B323" s="15" t="s">
        <v>20</v>
      </c>
      <c r="C323" s="15" t="s">
        <v>54</v>
      </c>
      <c r="D323" s="15" t="s">
        <v>828</v>
      </c>
      <c r="E323" s="15" t="s">
        <v>974</v>
      </c>
      <c r="F323" s="15" t="s">
        <v>1088</v>
      </c>
      <c r="G323" s="15" t="s">
        <v>1089</v>
      </c>
      <c r="H323" s="15" t="s">
        <v>1090</v>
      </c>
      <c r="I323" s="15">
        <v>801</v>
      </c>
      <c r="J323" s="15">
        <v>122</v>
      </c>
      <c r="K323" s="15" t="s">
        <v>75</v>
      </c>
      <c r="L323" s="15" t="s">
        <v>1091</v>
      </c>
      <c r="M323" s="16" t="s">
        <v>2576</v>
      </c>
      <c r="N323" s="16" t="s">
        <v>2576</v>
      </c>
      <c r="O323" s="17" t="str">
        <f>IF(NOT("https://maps.app.goo.gl/JTxDjVi5xfoQLkK18" = ""), HYPERLINK("https://maps.app.goo.gl/JTxDjVi5xfoQLkK18", "موقع"), "")</f>
        <v>موقع</v>
      </c>
      <c r="P323" s="15">
        <v>48000</v>
      </c>
      <c r="Q323" s="15" t="s">
        <v>1092</v>
      </c>
      <c r="R323" s="24" t="s">
        <v>2843</v>
      </c>
    </row>
    <row r="324" spans="1:18" s="18" customFormat="1" ht="50.4" x14ac:dyDescent="0.3">
      <c r="A324" s="15" t="s">
        <v>1093</v>
      </c>
      <c r="B324" s="15" t="s">
        <v>20</v>
      </c>
      <c r="C324" s="15" t="s">
        <v>54</v>
      </c>
      <c r="D324" s="15" t="s">
        <v>828</v>
      </c>
      <c r="E324" s="15" t="s">
        <v>874</v>
      </c>
      <c r="F324" s="15" t="s">
        <v>988</v>
      </c>
      <c r="G324" s="15" t="s">
        <v>1027</v>
      </c>
      <c r="H324" s="15" t="s">
        <v>990</v>
      </c>
      <c r="I324" s="15">
        <v>2779</v>
      </c>
      <c r="J324" s="15">
        <v>122</v>
      </c>
      <c r="K324" s="15" t="s">
        <v>75</v>
      </c>
      <c r="L324" s="15" t="s">
        <v>1071</v>
      </c>
      <c r="M324" s="16" t="s">
        <v>2576</v>
      </c>
      <c r="N324" s="16" t="s">
        <v>2576</v>
      </c>
      <c r="O324" s="17" t="str">
        <f>IF(NOT("https://maps.app.goo.gl/7EN8Zya1qa4zmhRH9" = ""), HYPERLINK("https://maps.app.goo.gl/7EN8Zya1qa4zmhRH9", "موقع"), "")</f>
        <v>موقع</v>
      </c>
      <c r="P324" s="15">
        <v>48000</v>
      </c>
      <c r="Q324" s="15" t="s">
        <v>1094</v>
      </c>
      <c r="R324" s="24" t="s">
        <v>2844</v>
      </c>
    </row>
    <row r="325" spans="1:18" s="18" customFormat="1" ht="100.8" x14ac:dyDescent="0.3">
      <c r="A325" s="15" t="s">
        <v>1095</v>
      </c>
      <c r="B325" s="15" t="s">
        <v>20</v>
      </c>
      <c r="C325" s="15" t="s">
        <v>54</v>
      </c>
      <c r="D325" s="15" t="s">
        <v>828</v>
      </c>
      <c r="E325" s="15" t="s">
        <v>860</v>
      </c>
      <c r="F325" s="15" t="s">
        <v>1096</v>
      </c>
      <c r="G325" s="15" t="s">
        <v>1097</v>
      </c>
      <c r="H325" s="15" t="s">
        <v>1098</v>
      </c>
      <c r="I325" s="15">
        <v>577</v>
      </c>
      <c r="J325" s="15">
        <v>105</v>
      </c>
      <c r="K325" s="15" t="s">
        <v>32</v>
      </c>
      <c r="L325" s="15" t="s">
        <v>1052</v>
      </c>
      <c r="M325" s="16" t="s">
        <v>2576</v>
      </c>
      <c r="N325" s="16" t="s">
        <v>2576</v>
      </c>
      <c r="O325" s="16" t="s">
        <v>2576</v>
      </c>
      <c r="P325" s="15">
        <v>48000</v>
      </c>
      <c r="Q325" s="15" t="s">
        <v>1099</v>
      </c>
      <c r="R325" s="24" t="s">
        <v>2845</v>
      </c>
    </row>
    <row r="326" spans="1:18" s="18" customFormat="1" ht="100.8" x14ac:dyDescent="0.3">
      <c r="A326" s="15" t="s">
        <v>1100</v>
      </c>
      <c r="B326" s="15" t="s">
        <v>20</v>
      </c>
      <c r="C326" s="15" t="s">
        <v>54</v>
      </c>
      <c r="D326" s="15" t="s">
        <v>828</v>
      </c>
      <c r="E326" s="15" t="s">
        <v>874</v>
      </c>
      <c r="F326" s="15" t="s">
        <v>875</v>
      </c>
      <c r="G326" s="15" t="s">
        <v>1101</v>
      </c>
      <c r="H326" s="15" t="s">
        <v>877</v>
      </c>
      <c r="I326" s="15">
        <v>2566</v>
      </c>
      <c r="J326" s="15">
        <v>131</v>
      </c>
      <c r="K326" s="15" t="s">
        <v>50</v>
      </c>
      <c r="L326" s="15" t="s">
        <v>174</v>
      </c>
      <c r="M326" s="16" t="s">
        <v>2576</v>
      </c>
      <c r="N326" s="16" t="s">
        <v>2576</v>
      </c>
      <c r="O326" s="16" t="s">
        <v>2576</v>
      </c>
      <c r="P326" s="15">
        <v>48000</v>
      </c>
      <c r="Q326" s="15" t="s">
        <v>1102</v>
      </c>
      <c r="R326" s="24" t="s">
        <v>2846</v>
      </c>
    </row>
    <row r="327" spans="1:18" s="18" customFormat="1" ht="100.8" x14ac:dyDescent="0.3">
      <c r="A327" s="15" t="s">
        <v>1103</v>
      </c>
      <c r="B327" s="15" t="s">
        <v>20</v>
      </c>
      <c r="C327" s="15" t="s">
        <v>54</v>
      </c>
      <c r="D327" s="15" t="s">
        <v>828</v>
      </c>
      <c r="E327" s="15" t="s">
        <v>974</v>
      </c>
      <c r="F327" s="15" t="s">
        <v>1019</v>
      </c>
      <c r="G327" s="15" t="s">
        <v>1020</v>
      </c>
      <c r="H327" s="15" t="s">
        <v>1021</v>
      </c>
      <c r="I327" s="15">
        <v>63</v>
      </c>
      <c r="J327" s="15">
        <v>131</v>
      </c>
      <c r="K327" s="15" t="s">
        <v>50</v>
      </c>
      <c r="L327" s="15" t="s">
        <v>166</v>
      </c>
      <c r="M327" s="16" t="s">
        <v>2576</v>
      </c>
      <c r="N327" s="16" t="s">
        <v>2576</v>
      </c>
      <c r="O327" s="17" t="str">
        <f>IF(NOT("https://maps.app.goo.gl/boHCvhcK4sWuF6V77" = ""), HYPERLINK("https://maps.app.goo.gl/boHCvhcK4sWuF6V77", "موقع"), "")</f>
        <v>موقع</v>
      </c>
      <c r="P327" s="15">
        <v>49000</v>
      </c>
      <c r="Q327" s="15" t="s">
        <v>1104</v>
      </c>
      <c r="R327" s="24" t="s">
        <v>2847</v>
      </c>
    </row>
    <row r="328" spans="1:18" s="18" customFormat="1" ht="100.8" x14ac:dyDescent="0.3">
      <c r="A328" s="15" t="s">
        <v>1105</v>
      </c>
      <c r="B328" s="15" t="s">
        <v>20</v>
      </c>
      <c r="C328" s="15" t="s">
        <v>54</v>
      </c>
      <c r="D328" s="15" t="s">
        <v>828</v>
      </c>
      <c r="E328" s="15" t="s">
        <v>874</v>
      </c>
      <c r="F328" s="15" t="s">
        <v>875</v>
      </c>
      <c r="G328" s="15" t="s">
        <v>1101</v>
      </c>
      <c r="H328" s="15" t="s">
        <v>877</v>
      </c>
      <c r="I328" s="15">
        <v>2566</v>
      </c>
      <c r="J328" s="15">
        <v>121</v>
      </c>
      <c r="K328" s="15" t="s">
        <v>75</v>
      </c>
      <c r="L328" s="15" t="s">
        <v>174</v>
      </c>
      <c r="M328" s="16" t="s">
        <v>2576</v>
      </c>
      <c r="N328" s="16" t="s">
        <v>2576</v>
      </c>
      <c r="O328" s="16" t="s">
        <v>2576</v>
      </c>
      <c r="P328" s="15">
        <v>49000</v>
      </c>
      <c r="Q328" s="15" t="s">
        <v>1106</v>
      </c>
      <c r="R328" s="24" t="s">
        <v>2848</v>
      </c>
    </row>
    <row r="329" spans="1:18" s="18" customFormat="1" ht="50.4" x14ac:dyDescent="0.3">
      <c r="A329" s="15" t="s">
        <v>1107</v>
      </c>
      <c r="B329" s="15" t="s">
        <v>20</v>
      </c>
      <c r="C329" s="15" t="s">
        <v>54</v>
      </c>
      <c r="D329" s="15" t="s">
        <v>828</v>
      </c>
      <c r="E329" s="15" t="s">
        <v>974</v>
      </c>
      <c r="F329" s="15" t="s">
        <v>1108</v>
      </c>
      <c r="G329" s="15" t="s">
        <v>1109</v>
      </c>
      <c r="H329" s="15" t="s">
        <v>1110</v>
      </c>
      <c r="I329" s="15">
        <v>1010</v>
      </c>
      <c r="J329" s="15">
        <v>123</v>
      </c>
      <c r="K329" s="15" t="s">
        <v>75</v>
      </c>
      <c r="L329" s="15" t="s">
        <v>195</v>
      </c>
      <c r="M329" s="16" t="s">
        <v>2576</v>
      </c>
      <c r="N329" s="16" t="s">
        <v>2576</v>
      </c>
      <c r="O329" s="17" t="str">
        <f>IF(NOT("https://maps.app.goo.gl/Q4CPo1Jsu7wMYEP18" = ""), HYPERLINK("https://maps.app.goo.gl/Q4CPo1Jsu7wMYEP18", "موقع"), "")</f>
        <v>موقع</v>
      </c>
      <c r="P329" s="15">
        <v>49000</v>
      </c>
      <c r="Q329" s="15" t="s">
        <v>1111</v>
      </c>
      <c r="R329" s="24" t="s">
        <v>2849</v>
      </c>
    </row>
    <row r="330" spans="1:18" s="18" customFormat="1" ht="100.8" x14ac:dyDescent="0.3">
      <c r="A330" s="15" t="s">
        <v>1112</v>
      </c>
      <c r="B330" s="15" t="s">
        <v>20</v>
      </c>
      <c r="C330" s="15" t="s">
        <v>54</v>
      </c>
      <c r="D330" s="15" t="s">
        <v>828</v>
      </c>
      <c r="E330" s="15" t="s">
        <v>829</v>
      </c>
      <c r="F330" s="15" t="s">
        <v>830</v>
      </c>
      <c r="G330" s="15" t="s">
        <v>996</v>
      </c>
      <c r="H330" s="15" t="s">
        <v>997</v>
      </c>
      <c r="I330" s="15">
        <v>52</v>
      </c>
      <c r="J330" s="15">
        <v>132</v>
      </c>
      <c r="K330" s="15" t="s">
        <v>50</v>
      </c>
      <c r="L330" s="15" t="s">
        <v>155</v>
      </c>
      <c r="M330" s="16" t="s">
        <v>2576</v>
      </c>
      <c r="N330" s="16" t="s">
        <v>2576</v>
      </c>
      <c r="O330" s="17" t="str">
        <f>IF(NOT("https://maps.app.goo.gl/uXXBmmsY9qrxGAK68" = ""), HYPERLINK("https://maps.app.goo.gl/uXXBmmsY9qrxGAK68", "موقع"), "")</f>
        <v>موقع</v>
      </c>
      <c r="P330" s="15">
        <v>49000</v>
      </c>
      <c r="Q330" s="15" t="s">
        <v>1113</v>
      </c>
      <c r="R330" s="24" t="s">
        <v>2850</v>
      </c>
    </row>
    <row r="331" spans="1:18" s="18" customFormat="1" ht="117.6" x14ac:dyDescent="0.3">
      <c r="A331" s="15" t="s">
        <v>1114</v>
      </c>
      <c r="B331" s="15" t="s">
        <v>20</v>
      </c>
      <c r="C331" s="15" t="s">
        <v>54</v>
      </c>
      <c r="D331" s="15" t="s">
        <v>828</v>
      </c>
      <c r="E331" s="15" t="s">
        <v>974</v>
      </c>
      <c r="F331" s="15" t="s">
        <v>1088</v>
      </c>
      <c r="G331" s="15" t="s">
        <v>1115</v>
      </c>
      <c r="H331" s="15" t="s">
        <v>149</v>
      </c>
      <c r="I331" s="15">
        <v>2141</v>
      </c>
      <c r="J331" s="15">
        <v>-101</v>
      </c>
      <c r="K331" s="15" t="s">
        <v>41</v>
      </c>
      <c r="L331" s="15" t="s">
        <v>1116</v>
      </c>
      <c r="M331" s="16" t="s">
        <v>2576</v>
      </c>
      <c r="N331" s="16" t="s">
        <v>2576</v>
      </c>
      <c r="O331" s="16" t="s">
        <v>2576</v>
      </c>
      <c r="P331" s="15">
        <v>49000</v>
      </c>
      <c r="Q331" s="15" t="s">
        <v>1117</v>
      </c>
      <c r="R331" s="24" t="s">
        <v>2851</v>
      </c>
    </row>
    <row r="332" spans="1:18" s="18" customFormat="1" ht="100.8" x14ac:dyDescent="0.3">
      <c r="A332" s="15" t="s">
        <v>1118</v>
      </c>
      <c r="B332" s="15" t="s">
        <v>20</v>
      </c>
      <c r="C332" s="15" t="s">
        <v>54</v>
      </c>
      <c r="D332" s="15" t="s">
        <v>828</v>
      </c>
      <c r="E332" s="15" t="s">
        <v>860</v>
      </c>
      <c r="F332" s="15" t="s">
        <v>861</v>
      </c>
      <c r="G332" s="15" t="s">
        <v>959</v>
      </c>
      <c r="H332" s="15" t="s">
        <v>1119</v>
      </c>
      <c r="I332" s="15">
        <v>5339</v>
      </c>
      <c r="J332" s="15">
        <v>111</v>
      </c>
      <c r="K332" s="15" t="s">
        <v>32</v>
      </c>
      <c r="L332" s="15" t="s">
        <v>233</v>
      </c>
      <c r="M332" s="16" t="s">
        <v>2576</v>
      </c>
      <c r="N332" s="17" t="str">
        <f>IF(NOT("https://truemarkets3d.net/3d-virtual-tour/housingbank-realestate/phase3/aq-re-100940/index.html" = ""), HYPERLINK("https://truemarkets3d.net/3d-virtual-tour/housingbank-realestate/phase3/aq-re-100940/index.html", "جولة"), "")</f>
        <v>جولة</v>
      </c>
      <c r="O332" s="16" t="s">
        <v>2576</v>
      </c>
      <c r="P332" s="15">
        <v>50000</v>
      </c>
      <c r="Q332" s="15" t="s">
        <v>1120</v>
      </c>
      <c r="R332" s="24" t="s">
        <v>2852</v>
      </c>
    </row>
    <row r="333" spans="1:18" s="18" customFormat="1" ht="50.4" x14ac:dyDescent="0.3">
      <c r="A333" s="15" t="s">
        <v>1121</v>
      </c>
      <c r="B333" s="15" t="s">
        <v>20</v>
      </c>
      <c r="C333" s="15" t="s">
        <v>54</v>
      </c>
      <c r="D333" s="15" t="s">
        <v>828</v>
      </c>
      <c r="E333" s="15" t="s">
        <v>1122</v>
      </c>
      <c r="F333" s="15" t="s">
        <v>1123</v>
      </c>
      <c r="G333" s="15" t="s">
        <v>1124</v>
      </c>
      <c r="H333" s="15" t="s">
        <v>1125</v>
      </c>
      <c r="I333" s="15">
        <v>434</v>
      </c>
      <c r="J333" s="15">
        <v>103</v>
      </c>
      <c r="K333" s="15" t="s">
        <v>41</v>
      </c>
      <c r="L333" s="15" t="s">
        <v>62</v>
      </c>
      <c r="M333" s="16" t="s">
        <v>2576</v>
      </c>
      <c r="N333" s="16" t="s">
        <v>2576</v>
      </c>
      <c r="O333" s="16" t="s">
        <v>2576</v>
      </c>
      <c r="P333" s="15">
        <v>50000</v>
      </c>
      <c r="Q333" s="15" t="s">
        <v>1126</v>
      </c>
      <c r="R333" s="24" t="s">
        <v>2853</v>
      </c>
    </row>
    <row r="334" spans="1:18" s="18" customFormat="1" ht="100.8" x14ac:dyDescent="0.3">
      <c r="A334" s="15" t="s">
        <v>1127</v>
      </c>
      <c r="B334" s="15" t="s">
        <v>20</v>
      </c>
      <c r="C334" s="15" t="s">
        <v>54</v>
      </c>
      <c r="D334" s="15" t="s">
        <v>828</v>
      </c>
      <c r="E334" s="15" t="s">
        <v>874</v>
      </c>
      <c r="F334" s="15" t="s">
        <v>875</v>
      </c>
      <c r="G334" s="15" t="s">
        <v>1101</v>
      </c>
      <c r="H334" s="15" t="s">
        <v>877</v>
      </c>
      <c r="I334" s="15">
        <v>2566</v>
      </c>
      <c r="J334" s="15">
        <v>111</v>
      </c>
      <c r="K334" s="15" t="s">
        <v>32</v>
      </c>
      <c r="L334" s="15" t="s">
        <v>174</v>
      </c>
      <c r="M334" s="16" t="s">
        <v>2576</v>
      </c>
      <c r="N334" s="16" t="s">
        <v>2576</v>
      </c>
      <c r="O334" s="16" t="s">
        <v>2576</v>
      </c>
      <c r="P334" s="15">
        <v>50000</v>
      </c>
      <c r="Q334" s="15" t="s">
        <v>1128</v>
      </c>
      <c r="R334" s="24" t="s">
        <v>2854</v>
      </c>
    </row>
    <row r="335" spans="1:18" s="18" customFormat="1" ht="50.4" x14ac:dyDescent="0.3">
      <c r="A335" s="15" t="s">
        <v>1129</v>
      </c>
      <c r="B335" s="15" t="s">
        <v>20</v>
      </c>
      <c r="C335" s="15" t="s">
        <v>54</v>
      </c>
      <c r="D335" s="15" t="s">
        <v>828</v>
      </c>
      <c r="E335" s="15" t="s">
        <v>974</v>
      </c>
      <c r="F335" s="15" t="s">
        <v>1108</v>
      </c>
      <c r="G335" s="15" t="s">
        <v>1130</v>
      </c>
      <c r="H335" s="15" t="s">
        <v>1051</v>
      </c>
      <c r="I335" s="15">
        <v>299</v>
      </c>
      <c r="J335" s="15">
        <v>-101</v>
      </c>
      <c r="K335" s="15" t="s">
        <v>41</v>
      </c>
      <c r="L335" s="15" t="s">
        <v>1131</v>
      </c>
      <c r="M335" s="16" t="s">
        <v>2576</v>
      </c>
      <c r="N335" s="16" t="s">
        <v>2576</v>
      </c>
      <c r="O335" s="17" t="str">
        <f>IF(NOT("https://maps.app.goo.gl/JBx5mcD1pSNku9H87" = ""), HYPERLINK("https://maps.app.goo.gl/JBx5mcD1pSNku9H87", "موقع"), "")</f>
        <v>موقع</v>
      </c>
      <c r="P335" s="15">
        <v>50000</v>
      </c>
      <c r="Q335" s="15" t="s">
        <v>1132</v>
      </c>
      <c r="R335" s="24" t="s">
        <v>2855</v>
      </c>
    </row>
    <row r="336" spans="1:18" s="18" customFormat="1" ht="100.8" x14ac:dyDescent="0.3">
      <c r="A336" s="15" t="s">
        <v>1133</v>
      </c>
      <c r="B336" s="15" t="s">
        <v>20</v>
      </c>
      <c r="C336" s="15" t="s">
        <v>54</v>
      </c>
      <c r="D336" s="15" t="s">
        <v>828</v>
      </c>
      <c r="E336" s="15" t="s">
        <v>829</v>
      </c>
      <c r="F336" s="15" t="s">
        <v>830</v>
      </c>
      <c r="G336" s="15" t="s">
        <v>1134</v>
      </c>
      <c r="H336" s="15" t="s">
        <v>997</v>
      </c>
      <c r="I336" s="15">
        <v>259</v>
      </c>
      <c r="J336" s="15">
        <v>-101</v>
      </c>
      <c r="K336" s="15" t="s">
        <v>32</v>
      </c>
      <c r="L336" s="15" t="s">
        <v>1135</v>
      </c>
      <c r="M336" s="16" t="s">
        <v>2576</v>
      </c>
      <c r="N336" s="16" t="s">
        <v>2576</v>
      </c>
      <c r="O336" s="16" t="s">
        <v>2576</v>
      </c>
      <c r="P336" s="15">
        <v>51000</v>
      </c>
      <c r="Q336" s="15" t="s">
        <v>1136</v>
      </c>
      <c r="R336" s="24" t="s">
        <v>2856</v>
      </c>
    </row>
    <row r="337" spans="1:18" s="18" customFormat="1" ht="100.8" x14ac:dyDescent="0.3">
      <c r="A337" s="15" t="s">
        <v>1137</v>
      </c>
      <c r="B337" s="15" t="s">
        <v>20</v>
      </c>
      <c r="C337" s="15" t="s">
        <v>54</v>
      </c>
      <c r="D337" s="15" t="s">
        <v>828</v>
      </c>
      <c r="E337" s="15" t="s">
        <v>974</v>
      </c>
      <c r="F337" s="15" t="s">
        <v>1019</v>
      </c>
      <c r="G337" s="15" t="s">
        <v>1020</v>
      </c>
      <c r="H337" s="15" t="s">
        <v>1021</v>
      </c>
      <c r="I337" s="15">
        <v>63</v>
      </c>
      <c r="J337" s="15">
        <v>121</v>
      </c>
      <c r="K337" s="15" t="s">
        <v>75</v>
      </c>
      <c r="L337" s="15" t="s">
        <v>166</v>
      </c>
      <c r="M337" s="16" t="s">
        <v>2576</v>
      </c>
      <c r="N337" s="16" t="s">
        <v>2576</v>
      </c>
      <c r="O337" s="17" t="str">
        <f>IF(NOT("https://maps.app.goo.gl/boHCvhcK4sWuF6V77" = ""), HYPERLINK("https://maps.app.goo.gl/boHCvhcK4sWuF6V77", "موقع"), "")</f>
        <v>موقع</v>
      </c>
      <c r="P337" s="15">
        <v>51000</v>
      </c>
      <c r="Q337" s="15" t="s">
        <v>1138</v>
      </c>
      <c r="R337" s="24" t="s">
        <v>2857</v>
      </c>
    </row>
    <row r="338" spans="1:18" s="18" customFormat="1" ht="100.8" x14ac:dyDescent="0.3">
      <c r="A338" s="15" t="s">
        <v>1139</v>
      </c>
      <c r="B338" s="15" t="s">
        <v>20</v>
      </c>
      <c r="C338" s="15" t="s">
        <v>54</v>
      </c>
      <c r="D338" s="15" t="s">
        <v>828</v>
      </c>
      <c r="E338" s="15" t="s">
        <v>874</v>
      </c>
      <c r="F338" s="15" t="s">
        <v>988</v>
      </c>
      <c r="G338" s="15" t="s">
        <v>1027</v>
      </c>
      <c r="H338" s="15" t="s">
        <v>990</v>
      </c>
      <c r="I338" s="15">
        <v>3022</v>
      </c>
      <c r="J338" s="15">
        <v>124</v>
      </c>
      <c r="K338" s="15" t="s">
        <v>75</v>
      </c>
      <c r="L338" s="15" t="s">
        <v>155</v>
      </c>
      <c r="M338" s="16" t="s">
        <v>2576</v>
      </c>
      <c r="N338" s="16" t="s">
        <v>2576</v>
      </c>
      <c r="O338" s="16" t="s">
        <v>2576</v>
      </c>
      <c r="P338" s="15">
        <v>51000</v>
      </c>
      <c r="Q338" s="15" t="s">
        <v>1140</v>
      </c>
      <c r="R338" s="24" t="s">
        <v>2858</v>
      </c>
    </row>
    <row r="339" spans="1:18" s="18" customFormat="1" ht="100.8" x14ac:dyDescent="0.3">
      <c r="A339" s="15" t="s">
        <v>1141</v>
      </c>
      <c r="B339" s="15" t="s">
        <v>20</v>
      </c>
      <c r="C339" s="15" t="s">
        <v>54</v>
      </c>
      <c r="D339" s="15" t="s">
        <v>828</v>
      </c>
      <c r="E339" s="15" t="s">
        <v>874</v>
      </c>
      <c r="F339" s="15" t="s">
        <v>988</v>
      </c>
      <c r="G339" s="15" t="s">
        <v>1027</v>
      </c>
      <c r="H339" s="15" t="s">
        <v>990</v>
      </c>
      <c r="I339" s="15">
        <v>1179</v>
      </c>
      <c r="J339" s="15">
        <v>-111</v>
      </c>
      <c r="K339" s="15" t="s">
        <v>27</v>
      </c>
      <c r="L339" s="15" t="s">
        <v>1142</v>
      </c>
      <c r="M339" s="16" t="s">
        <v>2576</v>
      </c>
      <c r="N339" s="17" t="str">
        <f>IF(NOT("https://truemarkets3d.net/3d-virtual-tour/housingbank-realestate/phase3/aq-re-100549/index.html" = ""), HYPERLINK("https://truemarkets3d.net/3d-virtual-tour/housingbank-realestate/phase3/aq-re-100549/index.html", "جولة"), "")</f>
        <v>جولة</v>
      </c>
      <c r="O339" s="17" t="str">
        <f>IF(NOT("https://maps.app.goo.gl/GUpiRafg5JQda89X7" = ""), HYPERLINK("https://maps.app.goo.gl/GUpiRafg5JQda89X7", "موقع"), "")</f>
        <v>موقع</v>
      </c>
      <c r="P339" s="15">
        <v>51000</v>
      </c>
      <c r="Q339" s="15" t="s">
        <v>1143</v>
      </c>
      <c r="R339" s="24" t="s">
        <v>2859</v>
      </c>
    </row>
    <row r="340" spans="1:18" s="18" customFormat="1" ht="67.2" x14ac:dyDescent="0.3">
      <c r="A340" s="15" t="s">
        <v>1144</v>
      </c>
      <c r="B340" s="15" t="s">
        <v>20</v>
      </c>
      <c r="C340" s="15" t="s">
        <v>54</v>
      </c>
      <c r="D340" s="15" t="s">
        <v>828</v>
      </c>
      <c r="E340" s="15" t="s">
        <v>860</v>
      </c>
      <c r="F340" s="15" t="s">
        <v>861</v>
      </c>
      <c r="G340" s="15" t="s">
        <v>1145</v>
      </c>
      <c r="H340" s="15" t="s">
        <v>870</v>
      </c>
      <c r="I340" s="15">
        <v>2080</v>
      </c>
      <c r="J340" s="15">
        <v>131</v>
      </c>
      <c r="K340" s="15" t="s">
        <v>50</v>
      </c>
      <c r="L340" s="15" t="s">
        <v>155</v>
      </c>
      <c r="M340" s="16" t="s">
        <v>2576</v>
      </c>
      <c r="N340" s="17" t="str">
        <f>IF(NOT("https://truemarkets3d.net/3d-virtual-tour/housingbank-realestate/phase3/aq-re-100122/index.html" = ""), HYPERLINK("https://truemarkets3d.net/3d-virtual-tour/housingbank-realestate/phase3/aq-re-100122/index.html", "جولة"), "")</f>
        <v>جولة</v>
      </c>
      <c r="O340" s="17" t="str">
        <f>IF(NOT("https://maps.app.goo.gl/oeW83VDAaD4bodJfA" = ""), HYPERLINK("https://maps.app.goo.gl/oeW83VDAaD4bodJfA", "موقع"), "")</f>
        <v>موقع</v>
      </c>
      <c r="P340" s="15">
        <v>51000</v>
      </c>
      <c r="Q340" s="15" t="s">
        <v>1146</v>
      </c>
      <c r="R340" s="24" t="s">
        <v>2860</v>
      </c>
    </row>
    <row r="341" spans="1:18" s="18" customFormat="1" ht="100.8" x14ac:dyDescent="0.3">
      <c r="A341" s="15" t="s">
        <v>1147</v>
      </c>
      <c r="B341" s="15" t="s">
        <v>20</v>
      </c>
      <c r="C341" s="15" t="s">
        <v>54</v>
      </c>
      <c r="D341" s="15" t="s">
        <v>828</v>
      </c>
      <c r="E341" s="15" t="s">
        <v>1148</v>
      </c>
      <c r="F341" s="15" t="s">
        <v>1149</v>
      </c>
      <c r="G341" s="15" t="s">
        <v>1150</v>
      </c>
      <c r="H341" s="15" t="s">
        <v>1151</v>
      </c>
      <c r="I341" s="15">
        <v>2025</v>
      </c>
      <c r="J341" s="15">
        <v>132</v>
      </c>
      <c r="K341" s="15" t="s">
        <v>50</v>
      </c>
      <c r="L341" s="15" t="s">
        <v>1152</v>
      </c>
      <c r="M341" s="16" t="s">
        <v>2576</v>
      </c>
      <c r="N341" s="17" t="str">
        <f>IF(NOT("https://truemarkets3d.net/3d-virtual-tour/housingbank-realestate/phase3/aq-re-100039/index.html" = ""), HYPERLINK("https://truemarkets3d.net/3d-virtual-tour/housingbank-realestate/phase3/aq-re-100039/index.html", "جولة"), "")</f>
        <v>جولة</v>
      </c>
      <c r="O341" s="17" t="str">
        <f>IF(NOT("https://maps.app.goo.gl/jENfBBd2m4vrtLZq9" = ""), HYPERLINK("https://maps.app.goo.gl/jENfBBd2m4vrtLZq9", "موقع"), "")</f>
        <v>موقع</v>
      </c>
      <c r="P341" s="15">
        <v>52000</v>
      </c>
      <c r="Q341" s="15" t="s">
        <v>1153</v>
      </c>
      <c r="R341" s="24" t="s">
        <v>2861</v>
      </c>
    </row>
    <row r="342" spans="1:18" s="18" customFormat="1" ht="117.6" x14ac:dyDescent="0.3">
      <c r="A342" s="15" t="s">
        <v>1154</v>
      </c>
      <c r="B342" s="15" t="s">
        <v>20</v>
      </c>
      <c r="C342" s="15" t="s">
        <v>54</v>
      </c>
      <c r="D342" s="15" t="s">
        <v>828</v>
      </c>
      <c r="E342" s="15" t="s">
        <v>974</v>
      </c>
      <c r="F342" s="15" t="s">
        <v>1041</v>
      </c>
      <c r="G342" s="15" t="s">
        <v>1042</v>
      </c>
      <c r="H342" s="15" t="s">
        <v>1155</v>
      </c>
      <c r="I342" s="15">
        <v>279</v>
      </c>
      <c r="J342" s="15">
        <v>-114</v>
      </c>
      <c r="K342" s="15" t="s">
        <v>75</v>
      </c>
      <c r="L342" s="15" t="s">
        <v>1156</v>
      </c>
      <c r="M342" s="16" t="s">
        <v>2576</v>
      </c>
      <c r="N342" s="16" t="s">
        <v>2576</v>
      </c>
      <c r="O342" s="16" t="s">
        <v>2576</v>
      </c>
      <c r="P342" s="15">
        <v>52000</v>
      </c>
      <c r="Q342" s="15" t="s">
        <v>1157</v>
      </c>
      <c r="R342" s="24" t="s">
        <v>2862</v>
      </c>
    </row>
    <row r="343" spans="1:18" s="18" customFormat="1" ht="50.4" x14ac:dyDescent="0.3">
      <c r="A343" s="15" t="s">
        <v>1158</v>
      </c>
      <c r="B343" s="15" t="s">
        <v>20</v>
      </c>
      <c r="C343" s="15" t="s">
        <v>54</v>
      </c>
      <c r="D343" s="15" t="s">
        <v>828</v>
      </c>
      <c r="E343" s="15" t="s">
        <v>829</v>
      </c>
      <c r="F343" s="15" t="s">
        <v>830</v>
      </c>
      <c r="G343" s="15" t="s">
        <v>939</v>
      </c>
      <c r="H343" s="15" t="s">
        <v>940</v>
      </c>
      <c r="I343" s="15">
        <v>602</v>
      </c>
      <c r="J343" s="15">
        <v>-111</v>
      </c>
      <c r="K343" s="15" t="s">
        <v>27</v>
      </c>
      <c r="L343" s="15" t="s">
        <v>1159</v>
      </c>
      <c r="M343" s="16" t="s">
        <v>2576</v>
      </c>
      <c r="N343" s="16" t="s">
        <v>2576</v>
      </c>
      <c r="O343" s="17" t="str">
        <f>IF(NOT("https://maps.app.goo.gl/Pdg7Tbzp3q1vqj3y8" = ""), HYPERLINK("https://maps.app.goo.gl/Pdg7Tbzp3q1vqj3y8", "موقع"), "")</f>
        <v>موقع</v>
      </c>
      <c r="P343" s="15">
        <v>52000</v>
      </c>
      <c r="Q343" s="15" t="s">
        <v>1160</v>
      </c>
      <c r="R343" s="24" t="s">
        <v>2863</v>
      </c>
    </row>
    <row r="344" spans="1:18" s="18" customFormat="1" ht="50.4" x14ac:dyDescent="0.3">
      <c r="A344" s="15" t="s">
        <v>1161</v>
      </c>
      <c r="B344" s="15" t="s">
        <v>20</v>
      </c>
      <c r="C344" s="15" t="s">
        <v>54</v>
      </c>
      <c r="D344" s="15" t="s">
        <v>828</v>
      </c>
      <c r="E344" s="15" t="s">
        <v>874</v>
      </c>
      <c r="F344" s="15" t="s">
        <v>875</v>
      </c>
      <c r="G344" s="15" t="s">
        <v>1101</v>
      </c>
      <c r="H344" s="15" t="s">
        <v>877</v>
      </c>
      <c r="I344" s="15">
        <v>2566</v>
      </c>
      <c r="J344" s="15">
        <v>101</v>
      </c>
      <c r="K344" s="15" t="s">
        <v>41</v>
      </c>
      <c r="L344" s="15" t="s">
        <v>174</v>
      </c>
      <c r="M344" s="16" t="s">
        <v>2576</v>
      </c>
      <c r="N344" s="16" t="s">
        <v>2576</v>
      </c>
      <c r="O344" s="16" t="s">
        <v>2576</v>
      </c>
      <c r="P344" s="15">
        <v>53000</v>
      </c>
      <c r="Q344" s="15" t="s">
        <v>1162</v>
      </c>
      <c r="R344" s="24" t="s">
        <v>2864</v>
      </c>
    </row>
    <row r="345" spans="1:18" s="18" customFormat="1" ht="67.2" x14ac:dyDescent="0.3">
      <c r="A345" s="15" t="s">
        <v>1163</v>
      </c>
      <c r="B345" s="15" t="s">
        <v>20</v>
      </c>
      <c r="C345" s="15" t="s">
        <v>54</v>
      </c>
      <c r="D345" s="15" t="s">
        <v>828</v>
      </c>
      <c r="E345" s="15" t="s">
        <v>860</v>
      </c>
      <c r="F345" s="15" t="s">
        <v>861</v>
      </c>
      <c r="G345" s="15" t="s">
        <v>1145</v>
      </c>
      <c r="H345" s="15" t="s">
        <v>870</v>
      </c>
      <c r="I345" s="15">
        <v>2080</v>
      </c>
      <c r="J345" s="15">
        <v>132</v>
      </c>
      <c r="K345" s="15" t="s">
        <v>50</v>
      </c>
      <c r="L345" s="15" t="s">
        <v>155</v>
      </c>
      <c r="M345" s="16" t="s">
        <v>2576</v>
      </c>
      <c r="N345" s="17" t="str">
        <f>IF(NOT("https://truemarkets3d.net/3d-virtual-tour/housingbank-realestate/phase3/aq-re-100123/index.html" = ""), HYPERLINK("https://truemarkets3d.net/3d-virtual-tour/housingbank-realestate/phase3/aq-re-100123/index.html", "جولة"), "")</f>
        <v>جولة</v>
      </c>
      <c r="O345" s="17" t="str">
        <f>IF(NOT("https://maps.app.goo.gl/85dFTm6w5eh5cFpeA" = ""), HYPERLINK("https://maps.app.goo.gl/85dFTm6w5eh5cFpeA", "موقع"), "")</f>
        <v>موقع</v>
      </c>
      <c r="P345" s="15">
        <v>53000</v>
      </c>
      <c r="Q345" s="15" t="s">
        <v>1164</v>
      </c>
      <c r="R345" s="24" t="s">
        <v>2865</v>
      </c>
    </row>
    <row r="346" spans="1:18" s="18" customFormat="1" ht="50.4" x14ac:dyDescent="0.3">
      <c r="A346" s="15" t="s">
        <v>1165</v>
      </c>
      <c r="B346" s="15" t="s">
        <v>20</v>
      </c>
      <c r="C346" s="15" t="s">
        <v>54</v>
      </c>
      <c r="D346" s="15" t="s">
        <v>828</v>
      </c>
      <c r="E346" s="15" t="s">
        <v>874</v>
      </c>
      <c r="F346" s="15" t="s">
        <v>988</v>
      </c>
      <c r="G346" s="15" t="s">
        <v>1046</v>
      </c>
      <c r="H346" s="15" t="s">
        <v>990</v>
      </c>
      <c r="I346" s="15">
        <v>2860</v>
      </c>
      <c r="J346" s="15">
        <v>112</v>
      </c>
      <c r="K346" s="15" t="s">
        <v>32</v>
      </c>
      <c r="L346" s="15" t="s">
        <v>1166</v>
      </c>
      <c r="M346" s="16" t="s">
        <v>2576</v>
      </c>
      <c r="N346" s="16" t="s">
        <v>2576</v>
      </c>
      <c r="O346" s="17" t="str">
        <f>IF(NOT("https://maps.app.goo.gl/avm15mhnaw4qyuLg6" = ""), HYPERLINK("https://maps.app.goo.gl/avm15mhnaw4qyuLg6", "موقع"), "")</f>
        <v>موقع</v>
      </c>
      <c r="P346" s="15">
        <v>53000</v>
      </c>
      <c r="Q346" s="15" t="s">
        <v>1167</v>
      </c>
      <c r="R346" s="24" t="s">
        <v>2866</v>
      </c>
    </row>
    <row r="347" spans="1:18" s="18" customFormat="1" ht="100.8" x14ac:dyDescent="0.3">
      <c r="A347" s="15" t="s">
        <v>1168</v>
      </c>
      <c r="B347" s="15" t="s">
        <v>20</v>
      </c>
      <c r="C347" s="15" t="s">
        <v>54</v>
      </c>
      <c r="D347" s="15" t="s">
        <v>828</v>
      </c>
      <c r="E347" s="15" t="s">
        <v>974</v>
      </c>
      <c r="F347" s="15" t="s">
        <v>1019</v>
      </c>
      <c r="G347" s="15" t="s">
        <v>1020</v>
      </c>
      <c r="H347" s="15" t="s">
        <v>1021</v>
      </c>
      <c r="I347" s="15">
        <v>63</v>
      </c>
      <c r="J347" s="15">
        <v>101</v>
      </c>
      <c r="K347" s="15" t="s">
        <v>41</v>
      </c>
      <c r="L347" s="15" t="s">
        <v>166</v>
      </c>
      <c r="M347" s="16" t="s">
        <v>2576</v>
      </c>
      <c r="N347" s="16" t="s">
        <v>2576</v>
      </c>
      <c r="O347" s="17" t="str">
        <f>IF(NOT("https://maps.app.goo.gl/boHCvhcK4sWuF6V77" = ""), HYPERLINK("https://maps.app.goo.gl/boHCvhcK4sWuF6V77", "موقع"), "")</f>
        <v>موقع</v>
      </c>
      <c r="P347" s="15">
        <v>54000</v>
      </c>
      <c r="Q347" s="15" t="s">
        <v>1169</v>
      </c>
      <c r="R347" s="24" t="s">
        <v>2867</v>
      </c>
    </row>
    <row r="348" spans="1:18" s="18" customFormat="1" ht="67.2" x14ac:dyDescent="0.3">
      <c r="A348" s="15" t="s">
        <v>1170</v>
      </c>
      <c r="B348" s="15" t="s">
        <v>20</v>
      </c>
      <c r="C348" s="15" t="s">
        <v>54</v>
      </c>
      <c r="D348" s="15" t="s">
        <v>828</v>
      </c>
      <c r="E348" s="15" t="s">
        <v>874</v>
      </c>
      <c r="F348" s="15" t="s">
        <v>988</v>
      </c>
      <c r="G348" s="15" t="s">
        <v>1046</v>
      </c>
      <c r="H348" s="15" t="s">
        <v>990</v>
      </c>
      <c r="I348" s="15">
        <v>1028</v>
      </c>
      <c r="J348" s="15">
        <v>113</v>
      </c>
      <c r="K348" s="15" t="s">
        <v>32</v>
      </c>
      <c r="L348" s="15" t="s">
        <v>236</v>
      </c>
      <c r="M348" s="16" t="s">
        <v>2576</v>
      </c>
      <c r="N348" s="17" t="str">
        <f>IF(NOT("https://truemarkets3d.net/3d-virtual-tour/housingbank-realestate/phase3/aq-re-100115/index.html" = ""), HYPERLINK("https://truemarkets3d.net/3d-virtual-tour/housingbank-realestate/phase3/aq-re-100115/index.html", "جولة"), "")</f>
        <v>جولة</v>
      </c>
      <c r="O348" s="17" t="str">
        <f>IF(NOT("https://maps.app.goo.gl/RJdWCLyv6pwXDKhq8" = ""), HYPERLINK("https://maps.app.goo.gl/RJdWCLyv6pwXDKhq8", "موقع"), "")</f>
        <v>موقع</v>
      </c>
      <c r="P348" s="15">
        <v>54000</v>
      </c>
      <c r="Q348" s="15" t="s">
        <v>1171</v>
      </c>
      <c r="R348" s="24" t="s">
        <v>2868</v>
      </c>
    </row>
    <row r="349" spans="1:18" s="18" customFormat="1" ht="100.8" x14ac:dyDescent="0.3">
      <c r="A349" s="15" t="s">
        <v>1172</v>
      </c>
      <c r="B349" s="15" t="s">
        <v>20</v>
      </c>
      <c r="C349" s="15" t="s">
        <v>54</v>
      </c>
      <c r="D349" s="15" t="s">
        <v>828</v>
      </c>
      <c r="E349" s="15" t="s">
        <v>974</v>
      </c>
      <c r="F349" s="15" t="s">
        <v>1019</v>
      </c>
      <c r="G349" s="15" t="s">
        <v>1020</v>
      </c>
      <c r="H349" s="15" t="s">
        <v>1021</v>
      </c>
      <c r="I349" s="15">
        <v>63</v>
      </c>
      <c r="J349" s="15">
        <v>111</v>
      </c>
      <c r="K349" s="15" t="s">
        <v>32</v>
      </c>
      <c r="L349" s="15" t="s">
        <v>166</v>
      </c>
      <c r="M349" s="16" t="s">
        <v>2576</v>
      </c>
      <c r="N349" s="16" t="s">
        <v>2576</v>
      </c>
      <c r="O349" s="17" t="str">
        <f>IF(NOT("https://maps.app.goo.gl/boHCvhcK4sWuF6V77" = ""), HYPERLINK("https://maps.app.goo.gl/boHCvhcK4sWuF6V77", "موقع"), "")</f>
        <v>موقع</v>
      </c>
      <c r="P349" s="15">
        <v>54000</v>
      </c>
      <c r="Q349" s="15" t="s">
        <v>1173</v>
      </c>
      <c r="R349" s="24" t="s">
        <v>2869</v>
      </c>
    </row>
    <row r="350" spans="1:18" s="18" customFormat="1" ht="50.4" x14ac:dyDescent="0.3">
      <c r="A350" s="15" t="s">
        <v>1174</v>
      </c>
      <c r="B350" s="15" t="s">
        <v>20</v>
      </c>
      <c r="C350" s="15" t="s">
        <v>54</v>
      </c>
      <c r="D350" s="15" t="s">
        <v>828</v>
      </c>
      <c r="E350" s="15" t="s">
        <v>860</v>
      </c>
      <c r="F350" s="15" t="s">
        <v>861</v>
      </c>
      <c r="G350" s="15" t="s">
        <v>862</v>
      </c>
      <c r="H350" s="15" t="s">
        <v>870</v>
      </c>
      <c r="I350" s="15">
        <v>1532</v>
      </c>
      <c r="J350" s="15">
        <v>101</v>
      </c>
      <c r="K350" s="15" t="s">
        <v>41</v>
      </c>
      <c r="L350" s="15" t="s">
        <v>1175</v>
      </c>
      <c r="M350" s="16" t="s">
        <v>2576</v>
      </c>
      <c r="N350" s="16" t="s">
        <v>2576</v>
      </c>
      <c r="O350" s="16" t="s">
        <v>2576</v>
      </c>
      <c r="P350" s="15">
        <v>56000</v>
      </c>
      <c r="Q350" s="15" t="s">
        <v>1176</v>
      </c>
      <c r="R350" s="24" t="s">
        <v>2870</v>
      </c>
    </row>
    <row r="351" spans="1:18" s="18" customFormat="1" ht="50.4" x14ac:dyDescent="0.3">
      <c r="A351" s="15" t="s">
        <v>1177</v>
      </c>
      <c r="B351" s="15" t="s">
        <v>20</v>
      </c>
      <c r="C351" s="15" t="s">
        <v>54</v>
      </c>
      <c r="D351" s="15" t="s">
        <v>828</v>
      </c>
      <c r="E351" s="15" t="s">
        <v>829</v>
      </c>
      <c r="F351" s="15" t="s">
        <v>830</v>
      </c>
      <c r="G351" s="15" t="s">
        <v>939</v>
      </c>
      <c r="H351" s="15" t="s">
        <v>940</v>
      </c>
      <c r="I351" s="15">
        <v>602</v>
      </c>
      <c r="J351" s="15">
        <v>-121</v>
      </c>
      <c r="K351" s="15" t="s">
        <v>451</v>
      </c>
      <c r="L351" s="15" t="s">
        <v>1159</v>
      </c>
      <c r="M351" s="16" t="s">
        <v>2576</v>
      </c>
      <c r="N351" s="16" t="s">
        <v>2576</v>
      </c>
      <c r="O351" s="17" t="str">
        <f>IF(NOT("https://maps.app.goo.gl/Pdg7Tbzp3q1vqj3y8" = ""), HYPERLINK("https://maps.app.goo.gl/Pdg7Tbzp3q1vqj3y8", "موقع"), "")</f>
        <v>موقع</v>
      </c>
      <c r="P351" s="15">
        <v>57000</v>
      </c>
      <c r="Q351" s="15" t="s">
        <v>1160</v>
      </c>
      <c r="R351" s="24" t="s">
        <v>2871</v>
      </c>
    </row>
    <row r="352" spans="1:18" s="18" customFormat="1" ht="100.8" x14ac:dyDescent="0.3">
      <c r="A352" s="15" t="s">
        <v>1178</v>
      </c>
      <c r="B352" s="15" t="s">
        <v>20</v>
      </c>
      <c r="C352" s="15" t="s">
        <v>54</v>
      </c>
      <c r="D352" s="15" t="s">
        <v>828</v>
      </c>
      <c r="E352" s="15" t="s">
        <v>874</v>
      </c>
      <c r="F352" s="15" t="s">
        <v>887</v>
      </c>
      <c r="G352" s="15" t="s">
        <v>1031</v>
      </c>
      <c r="H352" s="15" t="s">
        <v>990</v>
      </c>
      <c r="I352" s="15">
        <v>835</v>
      </c>
      <c r="J352" s="15">
        <v>121</v>
      </c>
      <c r="K352" s="15" t="s">
        <v>75</v>
      </c>
      <c r="L352" s="15" t="s">
        <v>1152</v>
      </c>
      <c r="M352" s="16" t="s">
        <v>2576</v>
      </c>
      <c r="N352" s="16" t="s">
        <v>2576</v>
      </c>
      <c r="O352" s="16" t="s">
        <v>2576</v>
      </c>
      <c r="P352" s="15">
        <v>57000</v>
      </c>
      <c r="Q352" s="15" t="s">
        <v>1179</v>
      </c>
      <c r="R352" s="24" t="s">
        <v>2872</v>
      </c>
    </row>
    <row r="353" spans="1:18" s="18" customFormat="1" ht="100.8" x14ac:dyDescent="0.3">
      <c r="A353" s="15" t="s">
        <v>1180</v>
      </c>
      <c r="B353" s="15" t="s">
        <v>20</v>
      </c>
      <c r="C353" s="15" t="s">
        <v>54</v>
      </c>
      <c r="D353" s="15" t="s">
        <v>828</v>
      </c>
      <c r="E353" s="15" t="s">
        <v>974</v>
      </c>
      <c r="F353" s="15" t="s">
        <v>1019</v>
      </c>
      <c r="G353" s="15" t="s">
        <v>1020</v>
      </c>
      <c r="H353" s="15" t="s">
        <v>1021</v>
      </c>
      <c r="I353" s="15">
        <v>63</v>
      </c>
      <c r="J353" s="15">
        <v>-111</v>
      </c>
      <c r="K353" s="15" t="s">
        <v>27</v>
      </c>
      <c r="L353" s="15" t="s">
        <v>166</v>
      </c>
      <c r="M353" s="16" t="s">
        <v>2576</v>
      </c>
      <c r="N353" s="16" t="s">
        <v>2576</v>
      </c>
      <c r="O353" s="17" t="str">
        <f>IF(NOT("https://maps.app.goo.gl/boHCvhcK4sWuF6V77" = ""), HYPERLINK("https://maps.app.goo.gl/boHCvhcK4sWuF6V77", "موقع"), "")</f>
        <v>موقع</v>
      </c>
      <c r="P353" s="15">
        <v>59000</v>
      </c>
      <c r="Q353" s="15" t="s">
        <v>1181</v>
      </c>
      <c r="R353" s="24" t="s">
        <v>2873</v>
      </c>
    </row>
    <row r="354" spans="1:18" s="18" customFormat="1" ht="50.4" x14ac:dyDescent="0.3">
      <c r="A354" s="15" t="s">
        <v>1182</v>
      </c>
      <c r="B354" s="15" t="s">
        <v>20</v>
      </c>
      <c r="C354" s="15" t="s">
        <v>54</v>
      </c>
      <c r="D354" s="15" t="s">
        <v>828</v>
      </c>
      <c r="E354" s="15" t="s">
        <v>860</v>
      </c>
      <c r="F354" s="15" t="s">
        <v>1183</v>
      </c>
      <c r="G354" s="15" t="s">
        <v>1184</v>
      </c>
      <c r="H354" s="15" t="s">
        <v>1185</v>
      </c>
      <c r="I354" s="15">
        <v>1207</v>
      </c>
      <c r="J354" s="15">
        <v>121</v>
      </c>
      <c r="K354" s="15" t="s">
        <v>75</v>
      </c>
      <c r="L354" s="15" t="s">
        <v>121</v>
      </c>
      <c r="M354" s="16" t="s">
        <v>2576</v>
      </c>
      <c r="N354" s="16" t="s">
        <v>2576</v>
      </c>
      <c r="O354" s="16" t="s">
        <v>2576</v>
      </c>
      <c r="P354" s="15">
        <v>59000</v>
      </c>
      <c r="Q354" s="15" t="s">
        <v>1186</v>
      </c>
      <c r="R354" s="24" t="s">
        <v>2874</v>
      </c>
    </row>
    <row r="355" spans="1:18" s="18" customFormat="1" ht="50.4" x14ac:dyDescent="0.3">
      <c r="A355" s="15" t="s">
        <v>1187</v>
      </c>
      <c r="B355" s="15" t="s">
        <v>20</v>
      </c>
      <c r="C355" s="15" t="s">
        <v>54</v>
      </c>
      <c r="D355" s="15" t="s">
        <v>828</v>
      </c>
      <c r="E355" s="15" t="s">
        <v>874</v>
      </c>
      <c r="F355" s="15" t="s">
        <v>988</v>
      </c>
      <c r="G355" s="15" t="s">
        <v>1046</v>
      </c>
      <c r="H355" s="15" t="s">
        <v>990</v>
      </c>
      <c r="I355" s="15">
        <v>2860</v>
      </c>
      <c r="J355" s="15">
        <v>102</v>
      </c>
      <c r="K355" s="15" t="s">
        <v>41</v>
      </c>
      <c r="L355" s="15" t="s">
        <v>1166</v>
      </c>
      <c r="M355" s="16" t="s">
        <v>2576</v>
      </c>
      <c r="N355" s="16" t="s">
        <v>2576</v>
      </c>
      <c r="O355" s="17" t="str">
        <f>IF(NOT("https://maps.app.goo.gl/avm15mhnaw4qyuLg6" = ""), HYPERLINK("https://maps.app.goo.gl/avm15mhnaw4qyuLg6", "موقع"), "")</f>
        <v>موقع</v>
      </c>
      <c r="P355" s="15">
        <v>61000</v>
      </c>
      <c r="Q355" s="15" t="s">
        <v>1188</v>
      </c>
      <c r="R355" s="24" t="s">
        <v>2875</v>
      </c>
    </row>
    <row r="356" spans="1:18" s="18" customFormat="1" ht="50.4" x14ac:dyDescent="0.3">
      <c r="A356" s="15" t="s">
        <v>1189</v>
      </c>
      <c r="B356" s="15" t="s">
        <v>20</v>
      </c>
      <c r="C356" s="15" t="s">
        <v>54</v>
      </c>
      <c r="D356" s="15" t="s">
        <v>828</v>
      </c>
      <c r="E356" s="15" t="s">
        <v>829</v>
      </c>
      <c r="F356" s="15" t="s">
        <v>830</v>
      </c>
      <c r="G356" s="15" t="s">
        <v>939</v>
      </c>
      <c r="H356" s="15" t="s">
        <v>940</v>
      </c>
      <c r="I356" s="15">
        <v>602</v>
      </c>
      <c r="J356" s="15">
        <v>101</v>
      </c>
      <c r="K356" s="15" t="s">
        <v>41</v>
      </c>
      <c r="L356" s="15" t="s">
        <v>1159</v>
      </c>
      <c r="M356" s="16" t="s">
        <v>2576</v>
      </c>
      <c r="N356" s="16" t="s">
        <v>2576</v>
      </c>
      <c r="O356" s="17" t="str">
        <f>IF(NOT("https://maps.app.goo.gl/Pdg7Tbzp3q1vqj3y8" = ""), HYPERLINK("https://maps.app.goo.gl/Pdg7Tbzp3q1vqj3y8", "موقع"), "")</f>
        <v>موقع</v>
      </c>
      <c r="P356" s="15">
        <v>61000</v>
      </c>
      <c r="Q356" s="15" t="s">
        <v>1190</v>
      </c>
      <c r="R356" s="24" t="s">
        <v>2876</v>
      </c>
    </row>
    <row r="357" spans="1:18" s="18" customFormat="1" ht="50.4" x14ac:dyDescent="0.3">
      <c r="A357" s="15" t="s">
        <v>1191</v>
      </c>
      <c r="B357" s="15" t="s">
        <v>20</v>
      </c>
      <c r="C357" s="15" t="s">
        <v>54</v>
      </c>
      <c r="D357" s="15" t="s">
        <v>828</v>
      </c>
      <c r="E357" s="15" t="s">
        <v>974</v>
      </c>
      <c r="F357" s="15" t="s">
        <v>1192</v>
      </c>
      <c r="G357" s="15" t="s">
        <v>1193</v>
      </c>
      <c r="H357" s="15" t="s">
        <v>1194</v>
      </c>
      <c r="I357" s="15">
        <v>451</v>
      </c>
      <c r="J357" s="15">
        <v>101</v>
      </c>
      <c r="K357" s="15" t="s">
        <v>41</v>
      </c>
      <c r="L357" s="15" t="s">
        <v>1071</v>
      </c>
      <c r="M357" s="16" t="s">
        <v>2576</v>
      </c>
      <c r="N357" s="16" t="s">
        <v>2576</v>
      </c>
      <c r="O357" s="17" t="str">
        <f>IF(NOT("https://maps.app.goo.gl/mFnjNEXHi6AX1uGB8" = ""), HYPERLINK("https://maps.app.goo.gl/mFnjNEXHi6AX1uGB8", "موقع"), "")</f>
        <v>موقع</v>
      </c>
      <c r="P357" s="15">
        <v>63000</v>
      </c>
      <c r="Q357" s="15" t="s">
        <v>1195</v>
      </c>
      <c r="R357" s="24" t="s">
        <v>2877</v>
      </c>
    </row>
    <row r="358" spans="1:18" s="18" customFormat="1" ht="100.8" x14ac:dyDescent="0.3">
      <c r="A358" s="15" t="s">
        <v>1196</v>
      </c>
      <c r="B358" s="15" t="s">
        <v>20</v>
      </c>
      <c r="C358" s="15" t="s">
        <v>54</v>
      </c>
      <c r="D358" s="15" t="s">
        <v>828</v>
      </c>
      <c r="E358" s="15" t="s">
        <v>874</v>
      </c>
      <c r="F358" s="15" t="s">
        <v>988</v>
      </c>
      <c r="G358" s="15" t="s">
        <v>1046</v>
      </c>
      <c r="H358" s="15" t="s">
        <v>990</v>
      </c>
      <c r="I358" s="15">
        <v>1730</v>
      </c>
      <c r="J358" s="15">
        <v>111</v>
      </c>
      <c r="K358" s="15" t="s">
        <v>32</v>
      </c>
      <c r="L358" s="15" t="s">
        <v>1197</v>
      </c>
      <c r="M358" s="16" t="s">
        <v>2576</v>
      </c>
      <c r="N358" s="16" t="s">
        <v>2576</v>
      </c>
      <c r="O358" s="16" t="s">
        <v>2576</v>
      </c>
      <c r="P358" s="15">
        <v>66000</v>
      </c>
      <c r="Q358" s="15" t="s">
        <v>1198</v>
      </c>
      <c r="R358" s="24" t="s">
        <v>2878</v>
      </c>
    </row>
    <row r="359" spans="1:18" s="18" customFormat="1" ht="100.8" x14ac:dyDescent="0.3">
      <c r="A359" s="15" t="s">
        <v>1199</v>
      </c>
      <c r="B359" s="15" t="s">
        <v>20</v>
      </c>
      <c r="C359" s="15" t="s">
        <v>54</v>
      </c>
      <c r="D359" s="15" t="s">
        <v>828</v>
      </c>
      <c r="E359" s="15" t="s">
        <v>1122</v>
      </c>
      <c r="F359" s="15" t="s">
        <v>1123</v>
      </c>
      <c r="G359" s="15" t="s">
        <v>1200</v>
      </c>
      <c r="H359" s="15" t="s">
        <v>1201</v>
      </c>
      <c r="I359" s="15">
        <v>439</v>
      </c>
      <c r="J359" s="15">
        <v>-101</v>
      </c>
      <c r="K359" s="15" t="s">
        <v>27</v>
      </c>
      <c r="L359" s="15" t="s">
        <v>1202</v>
      </c>
      <c r="M359" s="16" t="s">
        <v>2576</v>
      </c>
      <c r="N359" s="16" t="s">
        <v>2576</v>
      </c>
      <c r="O359" s="16" t="s">
        <v>2576</v>
      </c>
      <c r="P359" s="15">
        <v>66000</v>
      </c>
      <c r="Q359" s="15" t="s">
        <v>1203</v>
      </c>
      <c r="R359" s="24" t="s">
        <v>2879</v>
      </c>
    </row>
    <row r="360" spans="1:18" s="18" customFormat="1" ht="50.4" x14ac:dyDescent="0.3">
      <c r="A360" s="15" t="s">
        <v>1204</v>
      </c>
      <c r="B360" s="15" t="s">
        <v>20</v>
      </c>
      <c r="C360" s="15" t="s">
        <v>54</v>
      </c>
      <c r="D360" s="15" t="s">
        <v>828</v>
      </c>
      <c r="E360" s="15" t="s">
        <v>829</v>
      </c>
      <c r="F360" s="15" t="s">
        <v>830</v>
      </c>
      <c r="G360" s="15" t="s">
        <v>996</v>
      </c>
      <c r="H360" s="15" t="s">
        <v>997</v>
      </c>
      <c r="I360" s="15">
        <v>1934</v>
      </c>
      <c r="J360" s="15">
        <v>-102</v>
      </c>
      <c r="K360" s="15" t="s">
        <v>41</v>
      </c>
      <c r="L360" s="15" t="s">
        <v>1205</v>
      </c>
      <c r="M360" s="16" t="s">
        <v>2576</v>
      </c>
      <c r="N360" s="17" t="str">
        <f>IF(NOT("https://truemarkets3d.net/3d-virtual-tour/housingbank-realestate/phase3/aq-re-100749/index.html" = ""), HYPERLINK("https://truemarkets3d.net/3d-virtual-tour/housingbank-realestate/phase3/aq-re-100749/index.html", "جولة"), "")</f>
        <v>جولة</v>
      </c>
      <c r="O360" s="17" t="str">
        <f>IF(NOT("https://maps.app.goo.gl/NUz9XJrJbDQFJvDU6" = ""), HYPERLINK("https://maps.app.goo.gl/NUz9XJrJbDQFJvDU6", "موقع"), "")</f>
        <v>موقع</v>
      </c>
      <c r="P360" s="15">
        <v>68000</v>
      </c>
      <c r="Q360" s="15" t="s">
        <v>1206</v>
      </c>
      <c r="R360" s="24" t="s">
        <v>2880</v>
      </c>
    </row>
    <row r="361" spans="1:18" s="18" customFormat="1" ht="50.4" x14ac:dyDescent="0.3">
      <c r="A361" s="15" t="s">
        <v>1207</v>
      </c>
      <c r="B361" s="15" t="s">
        <v>20</v>
      </c>
      <c r="C361" s="15" t="s">
        <v>54</v>
      </c>
      <c r="D361" s="15" t="s">
        <v>828</v>
      </c>
      <c r="E361" s="15" t="s">
        <v>874</v>
      </c>
      <c r="F361" s="15" t="s">
        <v>887</v>
      </c>
      <c r="G361" s="15" t="s">
        <v>1031</v>
      </c>
      <c r="H361" s="15" t="s">
        <v>1208</v>
      </c>
      <c r="I361" s="15">
        <v>2418</v>
      </c>
      <c r="J361" s="15">
        <v>121</v>
      </c>
      <c r="K361" s="15" t="s">
        <v>75</v>
      </c>
      <c r="L361" s="15" t="s">
        <v>1209</v>
      </c>
      <c r="M361" s="16" t="s">
        <v>2576</v>
      </c>
      <c r="N361" s="16" t="s">
        <v>2576</v>
      </c>
      <c r="O361" s="17" t="str">
        <f>IF(NOT("https://maps.app.goo.gl/P4ZHVhL2SDqrEY9z8" = ""), HYPERLINK("https://maps.app.goo.gl/P4ZHVhL2SDqrEY9z8", "موقع"), "")</f>
        <v>موقع</v>
      </c>
      <c r="P361" s="15">
        <v>70000</v>
      </c>
      <c r="Q361" s="15" t="s">
        <v>1210</v>
      </c>
      <c r="R361" s="24" t="s">
        <v>2881</v>
      </c>
    </row>
    <row r="362" spans="1:18" s="18" customFormat="1" ht="100.8" x14ac:dyDescent="0.3">
      <c r="A362" s="15" t="s">
        <v>1211</v>
      </c>
      <c r="B362" s="15" t="s">
        <v>20</v>
      </c>
      <c r="C362" s="15" t="s">
        <v>54</v>
      </c>
      <c r="D362" s="15" t="s">
        <v>828</v>
      </c>
      <c r="E362" s="15" t="s">
        <v>874</v>
      </c>
      <c r="F362" s="15" t="s">
        <v>988</v>
      </c>
      <c r="G362" s="15" t="s">
        <v>1046</v>
      </c>
      <c r="H362" s="15" t="s">
        <v>990</v>
      </c>
      <c r="I362" s="15">
        <v>1706</v>
      </c>
      <c r="J362" s="15">
        <v>103</v>
      </c>
      <c r="K362" s="15" t="s">
        <v>41</v>
      </c>
      <c r="L362" s="15" t="s">
        <v>155</v>
      </c>
      <c r="M362" s="16" t="s">
        <v>2576</v>
      </c>
      <c r="N362" s="16" t="s">
        <v>2576</v>
      </c>
      <c r="O362" s="16" t="s">
        <v>2576</v>
      </c>
      <c r="P362" s="15">
        <v>71000</v>
      </c>
      <c r="Q362" s="15" t="s">
        <v>1212</v>
      </c>
      <c r="R362" s="24" t="s">
        <v>2882</v>
      </c>
    </row>
    <row r="363" spans="1:18" s="18" customFormat="1" ht="100.8" x14ac:dyDescent="0.3">
      <c r="A363" s="15" t="s">
        <v>1213</v>
      </c>
      <c r="B363" s="15" t="s">
        <v>20</v>
      </c>
      <c r="C363" s="15" t="s">
        <v>54</v>
      </c>
      <c r="D363" s="15" t="s">
        <v>828</v>
      </c>
      <c r="E363" s="15" t="s">
        <v>974</v>
      </c>
      <c r="F363" s="15" t="s">
        <v>1192</v>
      </c>
      <c r="G363" s="15" t="s">
        <v>1214</v>
      </c>
      <c r="H363" s="15" t="s">
        <v>1194</v>
      </c>
      <c r="I363" s="15">
        <v>2921</v>
      </c>
      <c r="J363" s="15">
        <v>-101</v>
      </c>
      <c r="K363" s="15" t="s">
        <v>27</v>
      </c>
      <c r="L363" s="15" t="s">
        <v>946</v>
      </c>
      <c r="M363" s="16" t="s">
        <v>2576</v>
      </c>
      <c r="N363" s="16" t="s">
        <v>2576</v>
      </c>
      <c r="O363" s="17" t="str">
        <f>IF(NOT("https://maps.app.goo.gl/AaPL6x8f3Epshw3A6" = ""), HYPERLINK("https://maps.app.goo.gl/AaPL6x8f3Epshw3A6", "موقع"), "")</f>
        <v>موقع</v>
      </c>
      <c r="P363" s="15">
        <v>72000</v>
      </c>
      <c r="Q363" s="15" t="s">
        <v>1215</v>
      </c>
      <c r="R363" s="24" t="s">
        <v>2883</v>
      </c>
    </row>
    <row r="364" spans="1:18" s="18" customFormat="1" ht="100.8" x14ac:dyDescent="0.3">
      <c r="A364" s="15" t="s">
        <v>1216</v>
      </c>
      <c r="B364" s="15" t="s">
        <v>20</v>
      </c>
      <c r="C364" s="15" t="s">
        <v>54</v>
      </c>
      <c r="D364" s="15" t="s">
        <v>828</v>
      </c>
      <c r="E364" s="15" t="s">
        <v>1122</v>
      </c>
      <c r="F364" s="15" t="s">
        <v>1123</v>
      </c>
      <c r="G364" s="15" t="s">
        <v>1217</v>
      </c>
      <c r="H364" s="15" t="s">
        <v>1125</v>
      </c>
      <c r="I364" s="15">
        <v>1328</v>
      </c>
      <c r="J364" s="15">
        <v>132</v>
      </c>
      <c r="K364" s="15" t="s">
        <v>50</v>
      </c>
      <c r="L364" s="15" t="s">
        <v>448</v>
      </c>
      <c r="M364" s="16" t="s">
        <v>2576</v>
      </c>
      <c r="N364" s="17" t="str">
        <f>IF(NOT("https://truemarkets3d.net/3d-virtual-tour/housingbank-realestate/phase3/aq-re-100113/index.html" = ""), HYPERLINK("https://truemarkets3d.net/3d-virtual-tour/housingbank-realestate/phase3/aq-re-100113/index.html", "جولة"), "")</f>
        <v>جولة</v>
      </c>
      <c r="O364" s="17" t="str">
        <f>IF(NOT("https://maps.app.goo.gl/RcLya9VzoKjrcVjX7" = ""), HYPERLINK("https://maps.app.goo.gl/RcLya9VzoKjrcVjX7", "موقع"), "")</f>
        <v>موقع</v>
      </c>
      <c r="P364" s="15">
        <v>74000</v>
      </c>
      <c r="Q364" s="15" t="s">
        <v>1218</v>
      </c>
      <c r="R364" s="24" t="s">
        <v>2884</v>
      </c>
    </row>
    <row r="365" spans="1:18" s="18" customFormat="1" ht="117.6" x14ac:dyDescent="0.3">
      <c r="A365" s="15" t="s">
        <v>1219</v>
      </c>
      <c r="B365" s="15" t="s">
        <v>20</v>
      </c>
      <c r="C365" s="15" t="s">
        <v>54</v>
      </c>
      <c r="D365" s="15" t="s">
        <v>828</v>
      </c>
      <c r="E365" s="15" t="s">
        <v>1148</v>
      </c>
      <c r="F365" s="15" t="s">
        <v>1149</v>
      </c>
      <c r="G365" s="15" t="s">
        <v>1220</v>
      </c>
      <c r="H365" s="15" t="s">
        <v>1221</v>
      </c>
      <c r="I365" s="15">
        <v>450</v>
      </c>
      <c r="J365" s="15">
        <v>122</v>
      </c>
      <c r="K365" s="15" t="s">
        <v>75</v>
      </c>
      <c r="L365" s="15" t="s">
        <v>1222</v>
      </c>
      <c r="M365" s="16" t="s">
        <v>2576</v>
      </c>
      <c r="N365" s="17" t="str">
        <f>IF(NOT("https://truemarkets3d.net/3d-virtual-tour/housingbank-realestate/phase3/aq-re-100521/index.html" = ""), HYPERLINK("https://truemarkets3d.net/3d-virtual-tour/housingbank-realestate/phase3/aq-re-100521/index.html", "جولة"), "")</f>
        <v>جولة</v>
      </c>
      <c r="O365" s="17" t="str">
        <f>IF(NOT("https://maps.app.goo.gl/qLQ5BPu7PfNaEtY78" = ""), HYPERLINK("https://maps.app.goo.gl/qLQ5BPu7PfNaEtY78", "موقع"), "")</f>
        <v>موقع</v>
      </c>
      <c r="P365" s="15">
        <v>75000</v>
      </c>
      <c r="Q365" s="15" t="s">
        <v>1223</v>
      </c>
      <c r="R365" s="24" t="s">
        <v>2885</v>
      </c>
    </row>
    <row r="366" spans="1:18" s="18" customFormat="1" ht="117.6" x14ac:dyDescent="0.3">
      <c r="A366" s="15" t="s">
        <v>1224</v>
      </c>
      <c r="B366" s="15" t="s">
        <v>20</v>
      </c>
      <c r="C366" s="15" t="s">
        <v>54</v>
      </c>
      <c r="D366" s="15" t="s">
        <v>828</v>
      </c>
      <c r="E366" s="15" t="s">
        <v>829</v>
      </c>
      <c r="F366" s="15" t="s">
        <v>830</v>
      </c>
      <c r="G366" s="15" t="s">
        <v>996</v>
      </c>
      <c r="H366" s="15" t="s">
        <v>997</v>
      </c>
      <c r="I366" s="15">
        <v>1960</v>
      </c>
      <c r="J366" s="15">
        <v>131</v>
      </c>
      <c r="K366" s="15" t="s">
        <v>50</v>
      </c>
      <c r="L366" s="15" t="s">
        <v>1225</v>
      </c>
      <c r="M366" s="16" t="s">
        <v>2576</v>
      </c>
      <c r="N366" s="17" t="str">
        <f>IF(NOT("https://www.true-markets.net/media/360tour/housing-bank/1960-131/index.html" = ""), HYPERLINK("https://www.true-markets.net/media/360tour/housing-bank/1960-131/index.html", "جولة"), "")</f>
        <v>جولة</v>
      </c>
      <c r="O366" s="17" t="str">
        <f>IF(NOT("https://maps.app.goo.gl/Nq3Tn1h3kFCRPX2N9" = ""), HYPERLINK("https://maps.app.goo.gl/Nq3Tn1h3kFCRPX2N9", "موقع"), "")</f>
        <v>موقع</v>
      </c>
      <c r="P366" s="15">
        <v>78000</v>
      </c>
      <c r="Q366" s="15" t="s">
        <v>1226</v>
      </c>
      <c r="R366" s="24" t="s">
        <v>2886</v>
      </c>
    </row>
    <row r="367" spans="1:18" s="18" customFormat="1" ht="50.4" x14ac:dyDescent="0.3">
      <c r="A367" s="15" t="s">
        <v>1227</v>
      </c>
      <c r="B367" s="15" t="s">
        <v>20</v>
      </c>
      <c r="C367" s="15" t="s">
        <v>54</v>
      </c>
      <c r="D367" s="15" t="s">
        <v>828</v>
      </c>
      <c r="E367" s="15" t="s">
        <v>1148</v>
      </c>
      <c r="F367" s="15" t="s">
        <v>1149</v>
      </c>
      <c r="G367" s="15" t="s">
        <v>1228</v>
      </c>
      <c r="H367" s="15" t="s">
        <v>1229</v>
      </c>
      <c r="I367" s="15">
        <v>863</v>
      </c>
      <c r="J367" s="15">
        <v>102</v>
      </c>
      <c r="K367" s="15" t="s">
        <v>41</v>
      </c>
      <c r="L367" s="15" t="s">
        <v>927</v>
      </c>
      <c r="M367" s="16" t="s">
        <v>2576</v>
      </c>
      <c r="N367" s="16" t="s">
        <v>2576</v>
      </c>
      <c r="O367" s="16" t="s">
        <v>2576</v>
      </c>
      <c r="P367" s="15">
        <v>82000</v>
      </c>
      <c r="Q367" s="15" t="s">
        <v>1230</v>
      </c>
      <c r="R367" s="24" t="s">
        <v>2887</v>
      </c>
    </row>
    <row r="368" spans="1:18" s="18" customFormat="1" ht="100.8" x14ac:dyDescent="0.3">
      <c r="A368" s="15" t="s">
        <v>1231</v>
      </c>
      <c r="B368" s="15" t="s">
        <v>20</v>
      </c>
      <c r="C368" s="15" t="s">
        <v>54</v>
      </c>
      <c r="D368" s="15" t="s">
        <v>828</v>
      </c>
      <c r="E368" s="15" t="s">
        <v>1122</v>
      </c>
      <c r="F368" s="15" t="s">
        <v>1232</v>
      </c>
      <c r="G368" s="15" t="s">
        <v>1233</v>
      </c>
      <c r="H368" s="15" t="s">
        <v>1234</v>
      </c>
      <c r="I368" s="15">
        <v>398</v>
      </c>
      <c r="J368" s="15">
        <v>-111</v>
      </c>
      <c r="K368" s="15" t="s">
        <v>27</v>
      </c>
      <c r="L368" s="15" t="s">
        <v>1235</v>
      </c>
      <c r="M368" s="17" t="str">
        <f>IF(NOT("https://youtu.be/HnI2uq5itUI" = ""), HYPERLINK("https://youtu.be/HnI2uq5itUI", "فيديو"), "")</f>
        <v>فيديو</v>
      </c>
      <c r="N368" s="17" t="str">
        <f>IF(NOT("https://truemarkets3d.net/3d-virtual-tour/housingbank-realestate/phase3/aq-re-100565/index.html" = ""), HYPERLINK("https://truemarkets3d.net/3d-virtual-tour/housingbank-realestate/phase3/aq-re-100565/index.html", "جولة"), "")</f>
        <v>جولة</v>
      </c>
      <c r="O368" s="17" t="str">
        <f>IF(NOT("https://maps.app.goo.gl/LVzG22XCMkTF2GnN9" = ""), HYPERLINK("https://maps.app.goo.gl/LVzG22XCMkTF2GnN9", "موقع"), "")</f>
        <v>موقع</v>
      </c>
      <c r="P368" s="15">
        <v>95000</v>
      </c>
      <c r="Q368" s="15" t="s">
        <v>1236</v>
      </c>
      <c r="R368" s="24" t="s">
        <v>2888</v>
      </c>
    </row>
    <row r="369" spans="1:18" s="18" customFormat="1" ht="100.8" x14ac:dyDescent="0.3">
      <c r="A369" s="15" t="s">
        <v>1237</v>
      </c>
      <c r="B369" s="15" t="s">
        <v>20</v>
      </c>
      <c r="C369" s="15" t="s">
        <v>54</v>
      </c>
      <c r="D369" s="15" t="s">
        <v>828</v>
      </c>
      <c r="E369" s="15" t="s">
        <v>829</v>
      </c>
      <c r="F369" s="15" t="s">
        <v>830</v>
      </c>
      <c r="G369" s="15" t="s">
        <v>1238</v>
      </c>
      <c r="H369" s="15" t="s">
        <v>1125</v>
      </c>
      <c r="I369" s="15">
        <v>29</v>
      </c>
      <c r="J369" s="15">
        <v>-101</v>
      </c>
      <c r="K369" s="15" t="s">
        <v>27</v>
      </c>
      <c r="L369" s="15" t="s">
        <v>1239</v>
      </c>
      <c r="M369" s="16" t="s">
        <v>2576</v>
      </c>
      <c r="N369" s="16" t="s">
        <v>2576</v>
      </c>
      <c r="O369" s="16" t="s">
        <v>2576</v>
      </c>
      <c r="P369" s="15">
        <v>108000</v>
      </c>
      <c r="Q369" s="15" t="s">
        <v>1240</v>
      </c>
      <c r="R369" s="24" t="s">
        <v>2889</v>
      </c>
    </row>
    <row r="370" spans="1:18" s="18" customFormat="1" ht="100.8" x14ac:dyDescent="0.3">
      <c r="A370" s="15" t="s">
        <v>1241</v>
      </c>
      <c r="B370" s="15" t="s">
        <v>20</v>
      </c>
      <c r="C370" s="15" t="s">
        <v>54</v>
      </c>
      <c r="D370" s="15" t="s">
        <v>828</v>
      </c>
      <c r="E370" s="15" t="s">
        <v>974</v>
      </c>
      <c r="F370" s="15" t="s">
        <v>1088</v>
      </c>
      <c r="G370" s="15" t="s">
        <v>1089</v>
      </c>
      <c r="H370" s="15" t="s">
        <v>1090</v>
      </c>
      <c r="I370" s="15">
        <v>403</v>
      </c>
      <c r="J370" s="15">
        <v>101</v>
      </c>
      <c r="K370" s="15" t="s">
        <v>41</v>
      </c>
      <c r="L370" s="15" t="s">
        <v>1202</v>
      </c>
      <c r="M370" s="16" t="s">
        <v>2576</v>
      </c>
      <c r="N370" s="17" t="str">
        <f>IF(NOT("https://truemarkets3d.net/3d-virtual-tour/housingbank-realestate/phase3/aq-re-100028/index.html" = ""), HYPERLINK("https://truemarkets3d.net/3d-virtual-tour/housingbank-realestate/phase3/aq-re-100028/index.html", "جولة"), "")</f>
        <v>جولة</v>
      </c>
      <c r="O370" s="17" t="str">
        <f>IF(NOT("https://maps.app.goo.gl/8xbcN4kXprhQ9SPx7" = ""), HYPERLINK("https://maps.app.goo.gl/8xbcN4kXprhQ9SPx7", "موقع"), "")</f>
        <v>موقع</v>
      </c>
      <c r="P370" s="15">
        <v>110000</v>
      </c>
      <c r="Q370" s="15" t="s">
        <v>1242</v>
      </c>
      <c r="R370" s="24" t="s">
        <v>2890</v>
      </c>
    </row>
    <row r="371" spans="1:18" s="18" customFormat="1" ht="100.8" x14ac:dyDescent="0.3">
      <c r="A371" s="15" t="s">
        <v>1243</v>
      </c>
      <c r="B371" s="15" t="s">
        <v>20</v>
      </c>
      <c r="C371" s="15" t="s">
        <v>54</v>
      </c>
      <c r="D371" s="15" t="s">
        <v>828</v>
      </c>
      <c r="E371" s="15" t="s">
        <v>829</v>
      </c>
      <c r="F371" s="15" t="s">
        <v>830</v>
      </c>
      <c r="G371" s="15" t="s">
        <v>1244</v>
      </c>
      <c r="H371" s="15" t="s">
        <v>1245</v>
      </c>
      <c r="I371" s="15">
        <v>1121</v>
      </c>
      <c r="J371" s="15">
        <v>111</v>
      </c>
      <c r="K371" s="15" t="s">
        <v>32</v>
      </c>
      <c r="L371" s="15" t="s">
        <v>1246</v>
      </c>
      <c r="M371" s="16" t="s">
        <v>2576</v>
      </c>
      <c r="N371" s="16" t="s">
        <v>2576</v>
      </c>
      <c r="O371" s="17" t="str">
        <f>IF(NOT("https://maps.app.goo.gl/BmWitPWPQ29bRjzo6" = ""), HYPERLINK("https://maps.app.goo.gl/BmWitPWPQ29bRjzo6", "موقع"), "")</f>
        <v>موقع</v>
      </c>
      <c r="P371" s="15">
        <v>115000</v>
      </c>
      <c r="Q371" s="15" t="s">
        <v>1247</v>
      </c>
      <c r="R371" s="24" t="s">
        <v>2891</v>
      </c>
    </row>
    <row r="372" spans="1:18" s="18" customFormat="1" ht="50.4" x14ac:dyDescent="0.3">
      <c r="A372" s="15" t="s">
        <v>1248</v>
      </c>
      <c r="B372" s="15" t="s">
        <v>20</v>
      </c>
      <c r="C372" s="15" t="s">
        <v>54</v>
      </c>
      <c r="D372" s="15" t="s">
        <v>828</v>
      </c>
      <c r="E372" s="15" t="s">
        <v>1148</v>
      </c>
      <c r="F372" s="15" t="s">
        <v>1149</v>
      </c>
      <c r="G372" s="15" t="s">
        <v>1249</v>
      </c>
      <c r="H372" s="15" t="s">
        <v>1250</v>
      </c>
      <c r="I372" s="15">
        <v>1278</v>
      </c>
      <c r="J372" s="15">
        <v>111</v>
      </c>
      <c r="K372" s="15" t="s">
        <v>32</v>
      </c>
      <c r="L372" s="15" t="s">
        <v>1251</v>
      </c>
      <c r="M372" s="16" t="s">
        <v>2576</v>
      </c>
      <c r="N372" s="17" t="str">
        <f>IF(NOT("https://www.true-markets.net/media/360tour/housing-bank/1278-111/index.html" = ""), HYPERLINK("https://www.true-markets.net/media/360tour/housing-bank/1278-111/index.html", "جولة"), "")</f>
        <v>جولة</v>
      </c>
      <c r="O372" s="16" t="s">
        <v>2576</v>
      </c>
      <c r="P372" s="15">
        <v>127000</v>
      </c>
      <c r="Q372" s="15" t="s">
        <v>1252</v>
      </c>
      <c r="R372" s="24" t="s">
        <v>2892</v>
      </c>
    </row>
    <row r="373" spans="1:18" s="18" customFormat="1" ht="100.8" x14ac:dyDescent="0.3">
      <c r="A373" s="15" t="s">
        <v>1253</v>
      </c>
      <c r="B373" s="15" t="s">
        <v>20</v>
      </c>
      <c r="C373" s="15" t="s">
        <v>54</v>
      </c>
      <c r="D373" s="15" t="s">
        <v>828</v>
      </c>
      <c r="E373" s="15" t="s">
        <v>829</v>
      </c>
      <c r="F373" s="15" t="s">
        <v>830</v>
      </c>
      <c r="G373" s="15" t="s">
        <v>1254</v>
      </c>
      <c r="H373" s="15" t="s">
        <v>1255</v>
      </c>
      <c r="I373" s="15">
        <v>585</v>
      </c>
      <c r="J373" s="15">
        <v>112</v>
      </c>
      <c r="K373" s="15" t="s">
        <v>32</v>
      </c>
      <c r="L373" s="15" t="s">
        <v>1256</v>
      </c>
      <c r="M373" s="16" t="s">
        <v>2576</v>
      </c>
      <c r="N373" s="17" t="str">
        <f>IF(NOT("https://www.true-markets.net/media/360tour/housing-bank/585-112/index.html" = ""), HYPERLINK("https://www.true-markets.net/media/360tour/housing-bank/585-112/index.html", "جولة"), "")</f>
        <v>جولة</v>
      </c>
      <c r="O373" s="17" t="str">
        <f>IF(NOT("https://maps.app.goo.gl/ha7yQqf6mJjpZvor5" = ""), HYPERLINK("https://maps.app.goo.gl/ha7yQqf6mJjpZvor5", "موقع"), "")</f>
        <v>موقع</v>
      </c>
      <c r="P373" s="15">
        <v>144000</v>
      </c>
      <c r="Q373" s="15" t="s">
        <v>1257</v>
      </c>
      <c r="R373" s="24" t="s">
        <v>2893</v>
      </c>
    </row>
    <row r="374" spans="1:18" s="18" customFormat="1" ht="50.4" x14ac:dyDescent="0.3">
      <c r="A374" s="15" t="s">
        <v>1258</v>
      </c>
      <c r="B374" s="15" t="s">
        <v>20</v>
      </c>
      <c r="C374" s="15" t="s">
        <v>54</v>
      </c>
      <c r="D374" s="15" t="s">
        <v>828</v>
      </c>
      <c r="E374" s="15" t="s">
        <v>829</v>
      </c>
      <c r="F374" s="15" t="s">
        <v>830</v>
      </c>
      <c r="G374" s="15" t="s">
        <v>1254</v>
      </c>
      <c r="H374" s="15" t="s">
        <v>1255</v>
      </c>
      <c r="I374" s="15">
        <v>568</v>
      </c>
      <c r="J374" s="15">
        <v>-101</v>
      </c>
      <c r="K374" s="15" t="s">
        <v>32</v>
      </c>
      <c r="L374" s="15" t="s">
        <v>1259</v>
      </c>
      <c r="M374" s="16" t="s">
        <v>2576</v>
      </c>
      <c r="N374" s="16" t="s">
        <v>2576</v>
      </c>
      <c r="O374" s="16" t="s">
        <v>2576</v>
      </c>
      <c r="P374" s="15">
        <v>164000</v>
      </c>
      <c r="Q374" s="15" t="s">
        <v>1260</v>
      </c>
      <c r="R374" s="24" t="s">
        <v>2894</v>
      </c>
    </row>
    <row r="375" spans="1:18" s="18" customFormat="1" ht="117.6" x14ac:dyDescent="0.3">
      <c r="A375" s="15" t="s">
        <v>1261</v>
      </c>
      <c r="B375" s="15" t="s">
        <v>20</v>
      </c>
      <c r="C375" s="15" t="s">
        <v>54</v>
      </c>
      <c r="D375" s="15" t="s">
        <v>828</v>
      </c>
      <c r="E375" s="15" t="s">
        <v>860</v>
      </c>
      <c r="F375" s="15" t="s">
        <v>1035</v>
      </c>
      <c r="G375" s="15" t="s">
        <v>1036</v>
      </c>
      <c r="H375" s="15" t="s">
        <v>1037</v>
      </c>
      <c r="I375" s="15">
        <v>1317</v>
      </c>
      <c r="J375" s="15">
        <v>0</v>
      </c>
      <c r="K375" s="15" t="s">
        <v>32</v>
      </c>
      <c r="L375" s="15" t="s">
        <v>1262</v>
      </c>
      <c r="M375" s="16" t="s">
        <v>2576</v>
      </c>
      <c r="N375" s="16" t="s">
        <v>2576</v>
      </c>
      <c r="O375" s="16" t="s">
        <v>2576</v>
      </c>
      <c r="P375" s="15">
        <v>224000</v>
      </c>
      <c r="Q375" s="15" t="s">
        <v>1263</v>
      </c>
      <c r="R375" s="24" t="s">
        <v>2895</v>
      </c>
    </row>
    <row r="376" spans="1:18" s="18" customFormat="1" ht="100.8" x14ac:dyDescent="0.3">
      <c r="A376" s="15" t="s">
        <v>1264</v>
      </c>
      <c r="B376" s="15" t="s">
        <v>20</v>
      </c>
      <c r="C376" s="15" t="s">
        <v>1265</v>
      </c>
      <c r="D376" s="15" t="s">
        <v>828</v>
      </c>
      <c r="E376" s="15" t="s">
        <v>974</v>
      </c>
      <c r="F376" s="15" t="s">
        <v>1088</v>
      </c>
      <c r="G376" s="15" t="s">
        <v>1089</v>
      </c>
      <c r="H376" s="15" t="s">
        <v>1090</v>
      </c>
      <c r="I376" s="15">
        <v>1394</v>
      </c>
      <c r="J376" s="15">
        <v>121</v>
      </c>
      <c r="K376" s="15" t="s">
        <v>75</v>
      </c>
      <c r="L376" s="15" t="s">
        <v>87</v>
      </c>
      <c r="M376" s="17" t="str">
        <f>IF(NOT("https://youtu.be/gbi_PajVXgo" = ""), HYPERLINK("https://youtu.be/gbi_PajVXgo", "فيديو"), "")</f>
        <v>فيديو</v>
      </c>
      <c r="N376" s="17" t="str">
        <f>IF(NOT("https://truemarkets3d.net/3d-virtual-tour/housingbank-realestate/phase3/aq-re-100536/index.html" = ""), HYPERLINK("https://truemarkets3d.net/3d-virtual-tour/housingbank-realestate/phase3/aq-re-100536/index.html", "جولة"), "")</f>
        <v>جولة</v>
      </c>
      <c r="O376" s="17" t="str">
        <f>IF(NOT("https://maps.app.goo.gl/LPC5QooR1YJtXR6eA" = ""), HYPERLINK("https://maps.app.goo.gl/LPC5QooR1YJtXR6eA", "موقع"), "")</f>
        <v>موقع</v>
      </c>
      <c r="P376" s="15">
        <v>65000</v>
      </c>
      <c r="Q376" s="15" t="s">
        <v>1266</v>
      </c>
      <c r="R376" s="24" t="s">
        <v>2896</v>
      </c>
    </row>
    <row r="377" spans="1:18" s="18" customFormat="1" ht="67.2" x14ac:dyDescent="0.3">
      <c r="A377" s="15" t="s">
        <v>1424</v>
      </c>
      <c r="B377" s="15" t="s">
        <v>20</v>
      </c>
      <c r="C377" s="15" t="s">
        <v>1425</v>
      </c>
      <c r="D377" s="15" t="s">
        <v>828</v>
      </c>
      <c r="E377" s="15" t="s">
        <v>974</v>
      </c>
      <c r="F377" s="15" t="s">
        <v>1049</v>
      </c>
      <c r="G377" s="15" t="s">
        <v>1426</v>
      </c>
      <c r="H377" s="15" t="s">
        <v>1427</v>
      </c>
      <c r="I377" s="15">
        <v>449</v>
      </c>
      <c r="J377" s="15">
        <v>139</v>
      </c>
      <c r="K377" s="15" t="s">
        <v>50</v>
      </c>
      <c r="L377" s="15" t="s">
        <v>1135</v>
      </c>
      <c r="M377" s="16" t="s">
        <v>2576</v>
      </c>
      <c r="N377" s="17" t="str">
        <f>IF(NOT("https://truemarkets3d.net/3d-virtual-tour/housingbank-realestate/phase3/aq-re-100186/index.html" = ""), HYPERLINK("https://truemarkets3d.net/3d-virtual-tour/housingbank-realestate/phase3/aq-re-100186/index.html", "جولة"), "")</f>
        <v>جولة</v>
      </c>
      <c r="O377" s="17" t="str">
        <f>IF(NOT("https://maps.app.goo.gl/QsRwMkUsu8fEteyQA" = ""), HYPERLINK("https://maps.app.goo.gl/QsRwMkUsu8fEteyQA", "موقع"), "")</f>
        <v>موقع</v>
      </c>
      <c r="P377" s="15">
        <v>102000</v>
      </c>
      <c r="Q377" s="15" t="s">
        <v>1428</v>
      </c>
      <c r="R377" s="24" t="s">
        <v>2951</v>
      </c>
    </row>
    <row r="378" spans="1:18" s="18" customFormat="1" ht="100.8" x14ac:dyDescent="0.3">
      <c r="A378" s="15" t="s">
        <v>1429</v>
      </c>
      <c r="B378" s="15" t="s">
        <v>20</v>
      </c>
      <c r="C378" s="15" t="s">
        <v>1425</v>
      </c>
      <c r="D378" s="15" t="s">
        <v>828</v>
      </c>
      <c r="E378" s="15" t="s">
        <v>974</v>
      </c>
      <c r="F378" s="15" t="s">
        <v>1108</v>
      </c>
      <c r="G378" s="15" t="s">
        <v>1430</v>
      </c>
      <c r="H378" s="15" t="s">
        <v>1292</v>
      </c>
      <c r="I378" s="15">
        <v>883</v>
      </c>
      <c r="J378" s="15">
        <v>121</v>
      </c>
      <c r="K378" s="15" t="s">
        <v>75</v>
      </c>
      <c r="L378" s="15" t="s">
        <v>1431</v>
      </c>
      <c r="M378" s="16" t="s">
        <v>2576</v>
      </c>
      <c r="N378" s="16" t="s">
        <v>2576</v>
      </c>
      <c r="O378" s="16" t="s">
        <v>2576</v>
      </c>
      <c r="P378" s="15">
        <v>534000</v>
      </c>
      <c r="Q378" s="15" t="s">
        <v>1432</v>
      </c>
      <c r="R378" s="24" t="s">
        <v>2952</v>
      </c>
    </row>
    <row r="379" spans="1:18" s="18" customFormat="1" ht="67.2" x14ac:dyDescent="0.3">
      <c r="A379" s="15" t="s">
        <v>1467</v>
      </c>
      <c r="B379" s="15" t="s">
        <v>262</v>
      </c>
      <c r="C379" s="15" t="s">
        <v>433</v>
      </c>
      <c r="D379" s="15" t="s">
        <v>1434</v>
      </c>
      <c r="E379" s="15" t="s">
        <v>1435</v>
      </c>
      <c r="F379" s="15" t="s">
        <v>1436</v>
      </c>
      <c r="G379" s="15" t="s">
        <v>1468</v>
      </c>
      <c r="H379" s="15" t="s">
        <v>1469</v>
      </c>
      <c r="I379" s="15">
        <v>705</v>
      </c>
      <c r="J379" s="15">
        <v>0</v>
      </c>
      <c r="K379" s="15"/>
      <c r="L379" s="15" t="s">
        <v>1470</v>
      </c>
      <c r="M379" s="16" t="s">
        <v>2576</v>
      </c>
      <c r="N379" s="16" t="s">
        <v>2576</v>
      </c>
      <c r="O379" s="16" t="s">
        <v>2576</v>
      </c>
      <c r="P379" s="15">
        <v>633000</v>
      </c>
      <c r="Q379" s="15" t="s">
        <v>1471</v>
      </c>
      <c r="R379" s="24" t="s">
        <v>2961</v>
      </c>
    </row>
    <row r="380" spans="1:18" s="18" customFormat="1" ht="100.8" x14ac:dyDescent="0.3">
      <c r="A380" s="15" t="s">
        <v>1433</v>
      </c>
      <c r="B380" s="15" t="s">
        <v>20</v>
      </c>
      <c r="C380" s="15" t="s">
        <v>54</v>
      </c>
      <c r="D380" s="15" t="s">
        <v>1434</v>
      </c>
      <c r="E380" s="15" t="s">
        <v>1435</v>
      </c>
      <c r="F380" s="15" t="s">
        <v>1436</v>
      </c>
      <c r="G380" s="15" t="s">
        <v>1437</v>
      </c>
      <c r="H380" s="15" t="s">
        <v>1438</v>
      </c>
      <c r="I380" s="15">
        <v>1427</v>
      </c>
      <c r="J380" s="15">
        <v>122</v>
      </c>
      <c r="K380" s="15" t="s">
        <v>75</v>
      </c>
      <c r="L380" s="15" t="s">
        <v>1439</v>
      </c>
      <c r="M380" s="16" t="s">
        <v>2576</v>
      </c>
      <c r="N380" s="16" t="s">
        <v>2576</v>
      </c>
      <c r="O380" s="16" t="s">
        <v>2576</v>
      </c>
      <c r="P380" s="15">
        <v>10000</v>
      </c>
      <c r="Q380" s="15" t="s">
        <v>1440</v>
      </c>
      <c r="R380" s="24" t="s">
        <v>2953</v>
      </c>
    </row>
    <row r="381" spans="1:18" s="18" customFormat="1" ht="50.4" x14ac:dyDescent="0.3">
      <c r="A381" s="15" t="s">
        <v>1441</v>
      </c>
      <c r="B381" s="15" t="s">
        <v>20</v>
      </c>
      <c r="C381" s="15" t="s">
        <v>54</v>
      </c>
      <c r="D381" s="15" t="s">
        <v>1434</v>
      </c>
      <c r="E381" s="15" t="s">
        <v>1435</v>
      </c>
      <c r="F381" s="15" t="s">
        <v>1436</v>
      </c>
      <c r="G381" s="15" t="s">
        <v>1442</v>
      </c>
      <c r="H381" s="15" t="s">
        <v>1443</v>
      </c>
      <c r="I381" s="15">
        <v>758</v>
      </c>
      <c r="J381" s="15">
        <v>111</v>
      </c>
      <c r="K381" s="15" t="s">
        <v>32</v>
      </c>
      <c r="L381" s="15" t="s">
        <v>1444</v>
      </c>
      <c r="M381" s="16" t="s">
        <v>2576</v>
      </c>
      <c r="N381" s="16" t="s">
        <v>2576</v>
      </c>
      <c r="O381" s="17" t="str">
        <f>IF(NOT("https://maps.app.goo.gl/NjZWGWM4gPdVSFy98" = ""), HYPERLINK("https://maps.app.goo.gl/NjZWGWM4gPdVSFy98", "موقع"), "")</f>
        <v>موقع</v>
      </c>
      <c r="P381" s="15">
        <v>17000</v>
      </c>
      <c r="Q381" s="15" t="s">
        <v>1445</v>
      </c>
      <c r="R381" s="24" t="s">
        <v>2954</v>
      </c>
    </row>
    <row r="382" spans="1:18" s="18" customFormat="1" ht="50.4" x14ac:dyDescent="0.3">
      <c r="A382" s="15" t="s">
        <v>1446</v>
      </c>
      <c r="B382" s="15" t="s">
        <v>20</v>
      </c>
      <c r="C382" s="15" t="s">
        <v>54</v>
      </c>
      <c r="D382" s="15" t="s">
        <v>1434</v>
      </c>
      <c r="E382" s="15" t="s">
        <v>1435</v>
      </c>
      <c r="F382" s="15" t="s">
        <v>1436</v>
      </c>
      <c r="G382" s="15" t="s">
        <v>1447</v>
      </c>
      <c r="H382" s="15" t="s">
        <v>1448</v>
      </c>
      <c r="I382" s="15">
        <v>2846</v>
      </c>
      <c r="J382" s="15">
        <v>124</v>
      </c>
      <c r="K382" s="15" t="s">
        <v>75</v>
      </c>
      <c r="L382" s="15" t="s">
        <v>1449</v>
      </c>
      <c r="M382" s="16" t="s">
        <v>2576</v>
      </c>
      <c r="N382" s="16" t="s">
        <v>2576</v>
      </c>
      <c r="O382" s="17" t="str">
        <f>IF(NOT("https://maps.app.goo.gl/wFsY2pvrwCUoWDti9" = ""), HYPERLINK("https://maps.app.goo.gl/wFsY2pvrwCUoWDti9", "موقع"), "")</f>
        <v>موقع</v>
      </c>
      <c r="P382" s="15">
        <v>18000</v>
      </c>
      <c r="Q382" s="15" t="s">
        <v>1450</v>
      </c>
      <c r="R382" s="24" t="s">
        <v>2955</v>
      </c>
    </row>
    <row r="383" spans="1:18" s="18" customFormat="1" ht="84" x14ac:dyDescent="0.3">
      <c r="A383" s="15" t="s">
        <v>1451</v>
      </c>
      <c r="B383" s="15" t="s">
        <v>20</v>
      </c>
      <c r="C383" s="15" t="s">
        <v>54</v>
      </c>
      <c r="D383" s="15" t="s">
        <v>1434</v>
      </c>
      <c r="E383" s="15" t="s">
        <v>1435</v>
      </c>
      <c r="F383" s="15" t="s">
        <v>1436</v>
      </c>
      <c r="G383" s="15" t="s">
        <v>1447</v>
      </c>
      <c r="H383" s="15" t="s">
        <v>1452</v>
      </c>
      <c r="I383" s="15">
        <v>2855</v>
      </c>
      <c r="J383" s="15">
        <v>-102</v>
      </c>
      <c r="K383" s="15" t="s">
        <v>27</v>
      </c>
      <c r="L383" s="15" t="s">
        <v>1449</v>
      </c>
      <c r="M383" s="16" t="s">
        <v>2576</v>
      </c>
      <c r="N383" s="16" t="s">
        <v>2576</v>
      </c>
      <c r="O383" s="16" t="s">
        <v>2576</v>
      </c>
      <c r="P383" s="15">
        <v>21000</v>
      </c>
      <c r="Q383" s="15" t="s">
        <v>1453</v>
      </c>
      <c r="R383" s="24" t="s">
        <v>2956</v>
      </c>
    </row>
    <row r="384" spans="1:18" s="18" customFormat="1" ht="100.8" x14ac:dyDescent="0.3">
      <c r="A384" s="15" t="s">
        <v>1454</v>
      </c>
      <c r="B384" s="15" t="s">
        <v>20</v>
      </c>
      <c r="C384" s="15" t="s">
        <v>54</v>
      </c>
      <c r="D384" s="15" t="s">
        <v>1434</v>
      </c>
      <c r="E384" s="15" t="s">
        <v>1435</v>
      </c>
      <c r="F384" s="15" t="s">
        <v>1436</v>
      </c>
      <c r="G384" s="15" t="s">
        <v>1447</v>
      </c>
      <c r="H384" s="15" t="s">
        <v>1452</v>
      </c>
      <c r="I384" s="15">
        <v>2831</v>
      </c>
      <c r="J384" s="15">
        <v>122</v>
      </c>
      <c r="K384" s="15" t="s">
        <v>75</v>
      </c>
      <c r="L384" s="15" t="s">
        <v>1449</v>
      </c>
      <c r="M384" s="16" t="s">
        <v>2576</v>
      </c>
      <c r="N384" s="16" t="s">
        <v>2576</v>
      </c>
      <c r="O384" s="17" t="str">
        <f>IF(NOT("https://maps.app.goo.gl/c6KHWZSnGQShxnEK6" = ""), HYPERLINK("https://maps.app.goo.gl/c6KHWZSnGQShxnEK6", "موقع"), "")</f>
        <v>موقع</v>
      </c>
      <c r="P384" s="15">
        <v>22000</v>
      </c>
      <c r="Q384" s="15" t="s">
        <v>1455</v>
      </c>
      <c r="R384" s="24" t="s">
        <v>2957</v>
      </c>
    </row>
    <row r="385" spans="1:18" s="18" customFormat="1" ht="50.4" x14ac:dyDescent="0.3">
      <c r="A385" s="15" t="s">
        <v>1456</v>
      </c>
      <c r="B385" s="15" t="s">
        <v>20</v>
      </c>
      <c r="C385" s="15" t="s">
        <v>54</v>
      </c>
      <c r="D385" s="15" t="s">
        <v>1434</v>
      </c>
      <c r="E385" s="15" t="s">
        <v>1435</v>
      </c>
      <c r="F385" s="15" t="s">
        <v>1436</v>
      </c>
      <c r="G385" s="15" t="s">
        <v>1447</v>
      </c>
      <c r="H385" s="15" t="s">
        <v>1452</v>
      </c>
      <c r="I385" s="15">
        <v>2976</v>
      </c>
      <c r="J385" s="15">
        <v>111</v>
      </c>
      <c r="K385" s="15" t="s">
        <v>32</v>
      </c>
      <c r="L385" s="15" t="s">
        <v>126</v>
      </c>
      <c r="M385" s="16" t="s">
        <v>2576</v>
      </c>
      <c r="N385" s="16" t="s">
        <v>2576</v>
      </c>
      <c r="O385" s="17" t="str">
        <f>IF(NOT("https://maps.app.goo.gl/ysQrTwwWYW7k2JzN6" = ""), HYPERLINK("https://maps.app.goo.gl/ysQrTwwWYW7k2JzN6", "موقع"), "")</f>
        <v>موقع</v>
      </c>
      <c r="P385" s="15">
        <v>23000</v>
      </c>
      <c r="Q385" s="15" t="s">
        <v>1457</v>
      </c>
      <c r="R385" s="24" t="s">
        <v>2958</v>
      </c>
    </row>
    <row r="386" spans="1:18" s="18" customFormat="1" ht="100.8" x14ac:dyDescent="0.3">
      <c r="A386" s="15" t="s">
        <v>1458</v>
      </c>
      <c r="B386" s="15" t="s">
        <v>20</v>
      </c>
      <c r="C386" s="15" t="s">
        <v>54</v>
      </c>
      <c r="D386" s="15" t="s">
        <v>1434</v>
      </c>
      <c r="E386" s="15" t="s">
        <v>1435</v>
      </c>
      <c r="F386" s="15" t="s">
        <v>1436</v>
      </c>
      <c r="G386" s="15" t="s">
        <v>1459</v>
      </c>
      <c r="H386" s="15" t="s">
        <v>1460</v>
      </c>
      <c r="I386" s="15">
        <v>75</v>
      </c>
      <c r="J386" s="15">
        <v>122</v>
      </c>
      <c r="K386" s="15" t="s">
        <v>75</v>
      </c>
      <c r="L386" s="15" t="s">
        <v>1461</v>
      </c>
      <c r="M386" s="16" t="s">
        <v>2576</v>
      </c>
      <c r="N386" s="16" t="s">
        <v>2576</v>
      </c>
      <c r="O386" s="16" t="s">
        <v>2576</v>
      </c>
      <c r="P386" s="15">
        <v>40000</v>
      </c>
      <c r="Q386" s="15" t="s">
        <v>1462</v>
      </c>
      <c r="R386" s="24" t="s">
        <v>2959</v>
      </c>
    </row>
    <row r="387" spans="1:18" s="18" customFormat="1" ht="100.8" x14ac:dyDescent="0.3">
      <c r="A387" s="15" t="s">
        <v>1463</v>
      </c>
      <c r="B387" s="15" t="s">
        <v>20</v>
      </c>
      <c r="C387" s="15" t="s">
        <v>54</v>
      </c>
      <c r="D387" s="15" t="s">
        <v>1434</v>
      </c>
      <c r="E387" s="15" t="s">
        <v>1435</v>
      </c>
      <c r="F387" s="15" t="s">
        <v>1436</v>
      </c>
      <c r="G387" s="15" t="s">
        <v>1464</v>
      </c>
      <c r="H387" s="15" t="s">
        <v>1460</v>
      </c>
      <c r="I387" s="15">
        <v>356</v>
      </c>
      <c r="J387" s="15">
        <v>102</v>
      </c>
      <c r="K387" s="15" t="s">
        <v>41</v>
      </c>
      <c r="L387" s="15" t="s">
        <v>1465</v>
      </c>
      <c r="M387" s="16" t="s">
        <v>2576</v>
      </c>
      <c r="N387" s="16" t="s">
        <v>2576</v>
      </c>
      <c r="O387" s="16" t="s">
        <v>2576</v>
      </c>
      <c r="P387" s="15">
        <v>41000</v>
      </c>
      <c r="Q387" s="15" t="s">
        <v>1466</v>
      </c>
      <c r="R387" s="24" t="s">
        <v>2960</v>
      </c>
    </row>
    <row r="388" spans="1:18" s="18" customFormat="1" ht="67.2" x14ac:dyDescent="0.3">
      <c r="A388" s="15" t="s">
        <v>1533</v>
      </c>
      <c r="B388" s="15" t="s">
        <v>390</v>
      </c>
      <c r="C388" s="15" t="s">
        <v>391</v>
      </c>
      <c r="D388" s="15" t="s">
        <v>1473</v>
      </c>
      <c r="E388" s="15" t="s">
        <v>1474</v>
      </c>
      <c r="F388" s="15" t="s">
        <v>1534</v>
      </c>
      <c r="G388" s="15" t="s">
        <v>1535</v>
      </c>
      <c r="H388" s="15" t="s">
        <v>1476</v>
      </c>
      <c r="I388" s="15">
        <v>181</v>
      </c>
      <c r="J388" s="15">
        <v>0</v>
      </c>
      <c r="K388" s="15"/>
      <c r="L388" s="15" t="s">
        <v>1536</v>
      </c>
      <c r="M388" s="16" t="s">
        <v>2576</v>
      </c>
      <c r="N388" s="16" t="s">
        <v>2576</v>
      </c>
      <c r="O388" s="17" t="str">
        <f>IF(NOT("https://maps.app.goo.gl/vgSJRETDMvEV6DU9A" = ""), HYPERLINK("https://maps.app.goo.gl/vgSJRETDMvEV6DU9A", "موقع"), "")</f>
        <v>موقع</v>
      </c>
      <c r="P388" s="15">
        <v>15000</v>
      </c>
      <c r="Q388" s="15" t="s">
        <v>1537</v>
      </c>
      <c r="R388" s="24" t="s">
        <v>2974</v>
      </c>
    </row>
    <row r="389" spans="1:18" s="18" customFormat="1" ht="50.4" x14ac:dyDescent="0.3">
      <c r="A389" s="15" t="s">
        <v>1538</v>
      </c>
      <c r="B389" s="15" t="s">
        <v>390</v>
      </c>
      <c r="C389" s="15" t="s">
        <v>391</v>
      </c>
      <c r="D389" s="15" t="s">
        <v>1473</v>
      </c>
      <c r="E389" s="15" t="s">
        <v>1474</v>
      </c>
      <c r="F389" s="15" t="s">
        <v>1539</v>
      </c>
      <c r="G389" s="15" t="s">
        <v>1540</v>
      </c>
      <c r="H389" s="15" t="s">
        <v>318</v>
      </c>
      <c r="I389" s="15">
        <v>20</v>
      </c>
      <c r="J389" s="15">
        <v>0</v>
      </c>
      <c r="K389" s="15"/>
      <c r="L389" s="15" t="s">
        <v>1541</v>
      </c>
      <c r="M389" s="16" t="s">
        <v>2576</v>
      </c>
      <c r="N389" s="16" t="s">
        <v>2576</v>
      </c>
      <c r="O389" s="16" t="s">
        <v>2576</v>
      </c>
      <c r="P389" s="15">
        <v>17000</v>
      </c>
      <c r="Q389" s="15" t="s">
        <v>1542</v>
      </c>
      <c r="R389" s="24" t="s">
        <v>2975</v>
      </c>
    </row>
    <row r="390" spans="1:18" s="18" customFormat="1" ht="67.2" x14ac:dyDescent="0.3">
      <c r="A390" s="15" t="s">
        <v>1490</v>
      </c>
      <c r="B390" s="15" t="s">
        <v>262</v>
      </c>
      <c r="C390" s="15" t="s">
        <v>281</v>
      </c>
      <c r="D390" s="15" t="s">
        <v>1473</v>
      </c>
      <c r="E390" s="15" t="s">
        <v>1485</v>
      </c>
      <c r="F390" s="15" t="s">
        <v>1491</v>
      </c>
      <c r="G390" s="15" t="s">
        <v>1492</v>
      </c>
      <c r="H390" s="15" t="s">
        <v>318</v>
      </c>
      <c r="I390" s="15">
        <v>839</v>
      </c>
      <c r="J390" s="15">
        <v>0</v>
      </c>
      <c r="K390" s="15"/>
      <c r="L390" s="15" t="s">
        <v>1493</v>
      </c>
      <c r="M390" s="16" t="s">
        <v>2576</v>
      </c>
      <c r="N390" s="16" t="s">
        <v>2576</v>
      </c>
      <c r="O390" s="17" t="str">
        <f>IF(NOT("https://maps.app.goo.gl/SFgYjmhyJRSYtJH27" = ""), HYPERLINK("https://maps.app.goo.gl/SFgYjmhyJRSYtJH27", "موقع"), "")</f>
        <v>موقع</v>
      </c>
      <c r="P390" s="15">
        <v>24000</v>
      </c>
      <c r="Q390" s="15" t="s">
        <v>1494</v>
      </c>
      <c r="R390" s="24" t="s">
        <v>2965</v>
      </c>
    </row>
    <row r="391" spans="1:18" s="18" customFormat="1" ht="268.8" x14ac:dyDescent="0.3">
      <c r="A391" s="15" t="s">
        <v>1495</v>
      </c>
      <c r="B391" s="15" t="s">
        <v>262</v>
      </c>
      <c r="C391" s="15" t="s">
        <v>281</v>
      </c>
      <c r="D391" s="15" t="s">
        <v>1473</v>
      </c>
      <c r="E391" s="15" t="s">
        <v>1485</v>
      </c>
      <c r="F391" s="15" t="s">
        <v>1496</v>
      </c>
      <c r="G391" s="15" t="s">
        <v>300</v>
      </c>
      <c r="H391" s="15" t="s">
        <v>318</v>
      </c>
      <c r="I391" s="15">
        <v>22</v>
      </c>
      <c r="J391" s="15">
        <v>0</v>
      </c>
      <c r="K391" s="15"/>
      <c r="L391" s="15" t="s">
        <v>1497</v>
      </c>
      <c r="M391" s="16" t="s">
        <v>2576</v>
      </c>
      <c r="N391" s="16" t="s">
        <v>2576</v>
      </c>
      <c r="O391" s="17" t="str">
        <f>IF(NOT("https://maps.app.goo.gl/uebFuZCtCmPZFAFX8" = ""), HYPERLINK("https://maps.app.goo.gl/uebFuZCtCmPZFAFX8", "موقع"), "")</f>
        <v>موقع</v>
      </c>
      <c r="P391" s="15">
        <v>26000</v>
      </c>
      <c r="Q391" s="15" t="s">
        <v>1498</v>
      </c>
      <c r="R391" s="24" t="s">
        <v>2966</v>
      </c>
    </row>
    <row r="392" spans="1:18" s="18" customFormat="1" ht="67.2" x14ac:dyDescent="0.3">
      <c r="A392" s="15" t="s">
        <v>1499</v>
      </c>
      <c r="B392" s="15" t="s">
        <v>262</v>
      </c>
      <c r="C392" s="15" t="s">
        <v>281</v>
      </c>
      <c r="D392" s="15" t="s">
        <v>1473</v>
      </c>
      <c r="E392" s="15" t="s">
        <v>1479</v>
      </c>
      <c r="F392" s="15" t="s">
        <v>1500</v>
      </c>
      <c r="G392" s="15" t="s">
        <v>1501</v>
      </c>
      <c r="H392" s="15" t="s">
        <v>318</v>
      </c>
      <c r="I392" s="15">
        <v>106</v>
      </c>
      <c r="J392" s="15">
        <v>0</v>
      </c>
      <c r="K392" s="15"/>
      <c r="L392" s="15" t="s">
        <v>1502</v>
      </c>
      <c r="M392" s="16" t="s">
        <v>2576</v>
      </c>
      <c r="N392" s="16" t="s">
        <v>2576</v>
      </c>
      <c r="O392" s="16" t="s">
        <v>2576</v>
      </c>
      <c r="P392" s="15">
        <v>26000</v>
      </c>
      <c r="Q392" s="15" t="s">
        <v>1503</v>
      </c>
      <c r="R392" s="24" t="s">
        <v>2967</v>
      </c>
    </row>
    <row r="393" spans="1:18" s="18" customFormat="1" ht="67.2" x14ac:dyDescent="0.3">
      <c r="A393" s="15" t="s">
        <v>1504</v>
      </c>
      <c r="B393" s="15" t="s">
        <v>262</v>
      </c>
      <c r="C393" s="15" t="s">
        <v>281</v>
      </c>
      <c r="D393" s="15" t="s">
        <v>1473</v>
      </c>
      <c r="E393" s="15" t="s">
        <v>1479</v>
      </c>
      <c r="F393" s="15" t="s">
        <v>1505</v>
      </c>
      <c r="G393" s="15" t="s">
        <v>1506</v>
      </c>
      <c r="H393" s="15" t="s">
        <v>1507</v>
      </c>
      <c r="I393" s="15">
        <v>327</v>
      </c>
      <c r="J393" s="15">
        <v>0</v>
      </c>
      <c r="K393" s="15"/>
      <c r="L393" s="15" t="s">
        <v>1508</v>
      </c>
      <c r="M393" s="16" t="s">
        <v>2576</v>
      </c>
      <c r="N393" s="16" t="s">
        <v>2576</v>
      </c>
      <c r="O393" s="17" t="str">
        <f>IF(NOT("https://maps.app.goo.gl/XmxnDKcjLE7m7iCQ6" = ""), HYPERLINK("https://maps.app.goo.gl/XmxnDKcjLE7m7iCQ6", "موقع"), "")</f>
        <v>موقع</v>
      </c>
      <c r="P393" s="15">
        <v>34000</v>
      </c>
      <c r="Q393" s="15" t="s">
        <v>1509</v>
      </c>
      <c r="R393" s="24" t="s">
        <v>2968</v>
      </c>
    </row>
    <row r="394" spans="1:18" s="18" customFormat="1" ht="67.2" x14ac:dyDescent="0.3">
      <c r="A394" s="15" t="s">
        <v>1510</v>
      </c>
      <c r="B394" s="15" t="s">
        <v>262</v>
      </c>
      <c r="C394" s="15" t="s">
        <v>281</v>
      </c>
      <c r="D394" s="15" t="s">
        <v>1473</v>
      </c>
      <c r="E394" s="15" t="s">
        <v>1485</v>
      </c>
      <c r="F394" s="15" t="s">
        <v>1486</v>
      </c>
      <c r="G394" s="15" t="s">
        <v>1511</v>
      </c>
      <c r="H394" s="15" t="s">
        <v>318</v>
      </c>
      <c r="I394" s="15">
        <v>537</v>
      </c>
      <c r="J394" s="15">
        <v>0</v>
      </c>
      <c r="K394" s="15"/>
      <c r="L394" s="15" t="s">
        <v>1512</v>
      </c>
      <c r="M394" s="16" t="s">
        <v>2576</v>
      </c>
      <c r="N394" s="16" t="s">
        <v>2576</v>
      </c>
      <c r="O394" s="16" t="s">
        <v>2576</v>
      </c>
      <c r="P394" s="15">
        <v>36000</v>
      </c>
      <c r="Q394" s="15" t="s">
        <v>1513</v>
      </c>
      <c r="R394" s="24" t="s">
        <v>2969</v>
      </c>
    </row>
    <row r="395" spans="1:18" s="18" customFormat="1" ht="302.39999999999998" x14ac:dyDescent="0.3">
      <c r="A395" s="15" t="s">
        <v>1514</v>
      </c>
      <c r="B395" s="15" t="s">
        <v>262</v>
      </c>
      <c r="C395" s="15" t="s">
        <v>281</v>
      </c>
      <c r="D395" s="15" t="s">
        <v>1473</v>
      </c>
      <c r="E395" s="15" t="s">
        <v>1485</v>
      </c>
      <c r="F395" s="15" t="s">
        <v>1486</v>
      </c>
      <c r="G395" s="15" t="s">
        <v>1511</v>
      </c>
      <c r="H395" s="15" t="s">
        <v>1476</v>
      </c>
      <c r="I395" s="15">
        <v>618</v>
      </c>
      <c r="J395" s="15">
        <v>0</v>
      </c>
      <c r="K395" s="15"/>
      <c r="L395" s="15" t="s">
        <v>478</v>
      </c>
      <c r="M395" s="16" t="s">
        <v>2576</v>
      </c>
      <c r="N395" s="16" t="s">
        <v>2576</v>
      </c>
      <c r="O395" s="16" t="s">
        <v>2576</v>
      </c>
      <c r="P395" s="15">
        <v>41000</v>
      </c>
      <c r="Q395" s="15" t="s">
        <v>1515</v>
      </c>
      <c r="R395" s="24" t="s">
        <v>2970</v>
      </c>
    </row>
    <row r="396" spans="1:18" s="18" customFormat="1" ht="218.4" x14ac:dyDescent="0.3">
      <c r="A396" s="15" t="s">
        <v>1516</v>
      </c>
      <c r="B396" s="15" t="s">
        <v>262</v>
      </c>
      <c r="C396" s="15" t="s">
        <v>281</v>
      </c>
      <c r="D396" s="15" t="s">
        <v>1473</v>
      </c>
      <c r="E396" s="15" t="s">
        <v>1479</v>
      </c>
      <c r="F396" s="15" t="s">
        <v>1517</v>
      </c>
      <c r="G396" s="15" t="s">
        <v>1518</v>
      </c>
      <c r="H396" s="15" t="s">
        <v>1519</v>
      </c>
      <c r="I396" s="15">
        <v>117</v>
      </c>
      <c r="J396" s="15">
        <v>0</v>
      </c>
      <c r="K396" s="15"/>
      <c r="L396" s="15" t="s">
        <v>638</v>
      </c>
      <c r="M396" s="16" t="s">
        <v>2576</v>
      </c>
      <c r="N396" s="16" t="s">
        <v>2576</v>
      </c>
      <c r="O396" s="17" t="str">
        <f>IF(NOT("https://maps.app.goo.gl/pTtVtcYQptRE2XRWA" = ""), HYPERLINK("https://maps.app.goo.gl/pTtVtcYQptRE2XRWA", "موقع"), "")</f>
        <v>موقع</v>
      </c>
      <c r="P396" s="15">
        <v>59000</v>
      </c>
      <c r="Q396" s="15" t="s">
        <v>1520</v>
      </c>
      <c r="R396" s="24" t="s">
        <v>2971</v>
      </c>
    </row>
    <row r="397" spans="1:18" s="18" customFormat="1" ht="252" x14ac:dyDescent="0.3">
      <c r="A397" s="15" t="s">
        <v>1521</v>
      </c>
      <c r="B397" s="15" t="s">
        <v>262</v>
      </c>
      <c r="C397" s="15" t="s">
        <v>281</v>
      </c>
      <c r="D397" s="15" t="s">
        <v>1473</v>
      </c>
      <c r="E397" s="15" t="s">
        <v>1474</v>
      </c>
      <c r="F397" s="15" t="s">
        <v>1522</v>
      </c>
      <c r="G397" s="15" t="s">
        <v>1523</v>
      </c>
      <c r="H397" s="15" t="s">
        <v>1524</v>
      </c>
      <c r="I397" s="15">
        <v>631</v>
      </c>
      <c r="J397" s="15">
        <v>0</v>
      </c>
      <c r="K397" s="15"/>
      <c r="L397" s="15" t="s">
        <v>1525</v>
      </c>
      <c r="M397" s="16" t="s">
        <v>2576</v>
      </c>
      <c r="N397" s="16" t="s">
        <v>2576</v>
      </c>
      <c r="O397" s="17" t="str">
        <f>IF(NOT("https://maps.app.goo.gl/tE56ws3842kuVrpd9" = ""), HYPERLINK("https://maps.app.goo.gl/tE56ws3842kuVrpd9", "موقع"), "")</f>
        <v>موقع</v>
      </c>
      <c r="P397" s="15">
        <v>63000</v>
      </c>
      <c r="Q397" s="15" t="s">
        <v>1526</v>
      </c>
      <c r="R397" s="24" t="s">
        <v>2972</v>
      </c>
    </row>
    <row r="398" spans="1:18" s="18" customFormat="1" ht="319.2" x14ac:dyDescent="0.3">
      <c r="A398" s="15" t="s">
        <v>1527</v>
      </c>
      <c r="B398" s="15" t="s">
        <v>262</v>
      </c>
      <c r="C398" s="15" t="s">
        <v>281</v>
      </c>
      <c r="D398" s="15" t="s">
        <v>1473</v>
      </c>
      <c r="E398" s="15" t="s">
        <v>1479</v>
      </c>
      <c r="F398" s="15" t="s">
        <v>1528</v>
      </c>
      <c r="G398" s="15" t="s">
        <v>1529</v>
      </c>
      <c r="H398" s="15" t="s">
        <v>1530</v>
      </c>
      <c r="I398" s="15">
        <v>61</v>
      </c>
      <c r="J398" s="15">
        <v>0</v>
      </c>
      <c r="K398" s="15"/>
      <c r="L398" s="15" t="s">
        <v>1531</v>
      </c>
      <c r="M398" s="16" t="s">
        <v>2576</v>
      </c>
      <c r="N398" s="16" t="s">
        <v>2576</v>
      </c>
      <c r="O398" s="17" t="str">
        <f>IF(NOT("https://maps.app.goo.gl/1o3zMBuKWctgbPRN6" = ""), HYPERLINK("https://maps.app.goo.gl/1o3zMBuKWctgbPRN6", "موقع"), "")</f>
        <v>موقع</v>
      </c>
      <c r="P398" s="15">
        <v>141000</v>
      </c>
      <c r="Q398" s="15" t="s">
        <v>1532</v>
      </c>
      <c r="R398" s="24" t="s">
        <v>2973</v>
      </c>
    </row>
    <row r="399" spans="1:18" s="18" customFormat="1" ht="134.4" x14ac:dyDescent="0.3">
      <c r="A399" s="15" t="s">
        <v>1543</v>
      </c>
      <c r="B399" s="15" t="s">
        <v>262</v>
      </c>
      <c r="C399" s="15" t="s">
        <v>421</v>
      </c>
      <c r="D399" s="15" t="s">
        <v>1473</v>
      </c>
      <c r="E399" s="15" t="s">
        <v>1474</v>
      </c>
      <c r="F399" s="15" t="s">
        <v>1544</v>
      </c>
      <c r="G399" s="15" t="s">
        <v>300</v>
      </c>
      <c r="H399" s="15" t="s">
        <v>1476</v>
      </c>
      <c r="I399" s="15">
        <v>120</v>
      </c>
      <c r="J399" s="15">
        <v>0</v>
      </c>
      <c r="K399" s="15"/>
      <c r="L399" s="15" t="s">
        <v>323</v>
      </c>
      <c r="M399" s="16" t="s">
        <v>2576</v>
      </c>
      <c r="N399" s="16" t="s">
        <v>2576</v>
      </c>
      <c r="O399" s="16" t="s">
        <v>2576</v>
      </c>
      <c r="P399" s="15">
        <v>19000</v>
      </c>
      <c r="Q399" s="15" t="s">
        <v>1545</v>
      </c>
      <c r="R399" s="24" t="s">
        <v>2976</v>
      </c>
    </row>
    <row r="400" spans="1:18" s="18" customFormat="1" ht="134.4" x14ac:dyDescent="0.3">
      <c r="A400" s="15" t="s">
        <v>1546</v>
      </c>
      <c r="B400" s="15" t="s">
        <v>262</v>
      </c>
      <c r="C400" s="15" t="s">
        <v>421</v>
      </c>
      <c r="D400" s="15" t="s">
        <v>1473</v>
      </c>
      <c r="E400" s="15" t="s">
        <v>1485</v>
      </c>
      <c r="F400" s="15" t="s">
        <v>1547</v>
      </c>
      <c r="G400" s="15" t="s">
        <v>1548</v>
      </c>
      <c r="H400" s="15" t="s">
        <v>318</v>
      </c>
      <c r="I400" s="15">
        <v>381</v>
      </c>
      <c r="J400" s="15">
        <v>0</v>
      </c>
      <c r="K400" s="15"/>
      <c r="L400" s="15" t="s">
        <v>1549</v>
      </c>
      <c r="M400" s="16" t="s">
        <v>2576</v>
      </c>
      <c r="N400" s="16" t="s">
        <v>2576</v>
      </c>
      <c r="O400" s="17" t="str">
        <f>IF(NOT("https://maps.app.goo.gl/DSq21ccX4bDdsCMf9" = ""), HYPERLINK("https://maps.app.goo.gl/DSq21ccX4bDdsCMf9", "موقع"), "")</f>
        <v>موقع</v>
      </c>
      <c r="P400" s="15">
        <v>20000</v>
      </c>
      <c r="Q400" s="15" t="s">
        <v>1550</v>
      </c>
      <c r="R400" s="24" t="s">
        <v>2977</v>
      </c>
    </row>
    <row r="401" spans="1:18" s="18" customFormat="1" ht="134.4" x14ac:dyDescent="0.3">
      <c r="A401" s="15" t="s">
        <v>1551</v>
      </c>
      <c r="B401" s="15" t="s">
        <v>262</v>
      </c>
      <c r="C401" s="15" t="s">
        <v>421</v>
      </c>
      <c r="D401" s="15" t="s">
        <v>1473</v>
      </c>
      <c r="E401" s="15" t="s">
        <v>1485</v>
      </c>
      <c r="F401" s="15" t="s">
        <v>1552</v>
      </c>
      <c r="G401" s="15" t="s">
        <v>300</v>
      </c>
      <c r="H401" s="15" t="s">
        <v>318</v>
      </c>
      <c r="I401" s="15">
        <v>295</v>
      </c>
      <c r="J401" s="15">
        <v>0</v>
      </c>
      <c r="K401" s="15"/>
      <c r="L401" s="15" t="s">
        <v>1553</v>
      </c>
      <c r="M401" s="16" t="s">
        <v>2576</v>
      </c>
      <c r="N401" s="16" t="s">
        <v>2576</v>
      </c>
      <c r="O401" s="17" t="str">
        <f>IF(NOT("https://maps.app.goo.gl/qYZVzkQWQxvbkaDu6" = ""), HYPERLINK("https://maps.app.goo.gl/qYZVzkQWQxvbkaDu6", "موقع"), "")</f>
        <v>موقع</v>
      </c>
      <c r="P401" s="15">
        <v>20000</v>
      </c>
      <c r="Q401" s="15" t="s">
        <v>1554</v>
      </c>
      <c r="R401" s="24" t="s">
        <v>2978</v>
      </c>
    </row>
    <row r="402" spans="1:18" s="18" customFormat="1" ht="134.4" x14ac:dyDescent="0.3">
      <c r="A402" s="15" t="s">
        <v>1555</v>
      </c>
      <c r="B402" s="15" t="s">
        <v>262</v>
      </c>
      <c r="C402" s="15" t="s">
        <v>421</v>
      </c>
      <c r="D402" s="15" t="s">
        <v>1473</v>
      </c>
      <c r="E402" s="15" t="s">
        <v>1474</v>
      </c>
      <c r="F402" s="15" t="s">
        <v>1556</v>
      </c>
      <c r="G402" s="15" t="s">
        <v>79</v>
      </c>
      <c r="H402" s="15" t="s">
        <v>1476</v>
      </c>
      <c r="I402" s="15">
        <v>38</v>
      </c>
      <c r="J402" s="15">
        <v>0</v>
      </c>
      <c r="K402" s="15"/>
      <c r="L402" s="15" t="s">
        <v>1557</v>
      </c>
      <c r="M402" s="16" t="s">
        <v>2576</v>
      </c>
      <c r="N402" s="16" t="s">
        <v>2576</v>
      </c>
      <c r="O402" s="17" t="str">
        <f>IF(NOT("https://maps.app.goo.gl/z5ujayfc7Y7kQ9Jd9" = ""), HYPERLINK("https://maps.app.goo.gl/z5ujayfc7Y7kQ9Jd9", "موقع"), "")</f>
        <v>موقع</v>
      </c>
      <c r="P402" s="15">
        <v>24000</v>
      </c>
      <c r="Q402" s="15" t="s">
        <v>1558</v>
      </c>
      <c r="R402" s="24" t="s">
        <v>2979</v>
      </c>
    </row>
    <row r="403" spans="1:18" s="18" customFormat="1" ht="100.8" x14ac:dyDescent="0.3">
      <c r="A403" s="15" t="s">
        <v>1472</v>
      </c>
      <c r="B403" s="15" t="s">
        <v>20</v>
      </c>
      <c r="C403" s="15" t="s">
        <v>54</v>
      </c>
      <c r="D403" s="15" t="s">
        <v>1473</v>
      </c>
      <c r="E403" s="15" t="s">
        <v>1474</v>
      </c>
      <c r="F403" s="15" t="s">
        <v>1475</v>
      </c>
      <c r="G403" s="15" t="s">
        <v>119</v>
      </c>
      <c r="H403" s="15" t="s">
        <v>1476</v>
      </c>
      <c r="I403" s="15">
        <v>730</v>
      </c>
      <c r="J403" s="15">
        <v>111</v>
      </c>
      <c r="K403" s="15" t="s">
        <v>32</v>
      </c>
      <c r="L403" s="15" t="s">
        <v>579</v>
      </c>
      <c r="M403" s="16" t="s">
        <v>2576</v>
      </c>
      <c r="N403" s="16" t="s">
        <v>2576</v>
      </c>
      <c r="O403" s="16" t="s">
        <v>2576</v>
      </c>
      <c r="P403" s="15">
        <v>13000</v>
      </c>
      <c r="Q403" s="15" t="s">
        <v>1477</v>
      </c>
      <c r="R403" s="24" t="s">
        <v>2962</v>
      </c>
    </row>
    <row r="404" spans="1:18" s="18" customFormat="1" ht="100.8" x14ac:dyDescent="0.3">
      <c r="A404" s="15" t="s">
        <v>1478</v>
      </c>
      <c r="B404" s="15" t="s">
        <v>20</v>
      </c>
      <c r="C404" s="15" t="s">
        <v>54</v>
      </c>
      <c r="D404" s="15" t="s">
        <v>1473</v>
      </c>
      <c r="E404" s="15" t="s">
        <v>1479</v>
      </c>
      <c r="F404" s="15" t="s">
        <v>1480</v>
      </c>
      <c r="G404" s="15" t="s">
        <v>1481</v>
      </c>
      <c r="H404" s="15" t="s">
        <v>1482</v>
      </c>
      <c r="I404" s="15">
        <v>83</v>
      </c>
      <c r="J404" s="15">
        <v>132</v>
      </c>
      <c r="K404" s="15" t="s">
        <v>50</v>
      </c>
      <c r="L404" s="15" t="s">
        <v>134</v>
      </c>
      <c r="M404" s="16" t="s">
        <v>2576</v>
      </c>
      <c r="N404" s="16" t="s">
        <v>2576</v>
      </c>
      <c r="O404" s="17" t="str">
        <f>IF(NOT("https://maps.app.goo.gl/meVRxSaNbKiyizqX9" = ""), HYPERLINK("https://maps.app.goo.gl/meVRxSaNbKiyizqX9", "موقع"), "")</f>
        <v>موقع</v>
      </c>
      <c r="P404" s="15">
        <v>36000</v>
      </c>
      <c r="Q404" s="15" t="s">
        <v>1483</v>
      </c>
      <c r="R404" s="24" t="s">
        <v>2963</v>
      </c>
    </row>
    <row r="405" spans="1:18" s="18" customFormat="1" ht="117.6" x14ac:dyDescent="0.3">
      <c r="A405" s="15" t="s">
        <v>1484</v>
      </c>
      <c r="B405" s="15" t="s">
        <v>20</v>
      </c>
      <c r="C405" s="15" t="s">
        <v>54</v>
      </c>
      <c r="D405" s="15" t="s">
        <v>1473</v>
      </c>
      <c r="E405" s="15" t="s">
        <v>1485</v>
      </c>
      <c r="F405" s="15" t="s">
        <v>1486</v>
      </c>
      <c r="G405" s="15" t="s">
        <v>1487</v>
      </c>
      <c r="H405" s="15" t="s">
        <v>318</v>
      </c>
      <c r="I405" s="15">
        <v>615</v>
      </c>
      <c r="J405" s="15">
        <v>0</v>
      </c>
      <c r="K405" s="15" t="s">
        <v>32</v>
      </c>
      <c r="L405" s="15" t="s">
        <v>1488</v>
      </c>
      <c r="M405" s="16" t="s">
        <v>2576</v>
      </c>
      <c r="N405" s="16" t="s">
        <v>2576</v>
      </c>
      <c r="O405" s="16" t="s">
        <v>2576</v>
      </c>
      <c r="P405" s="15">
        <v>41000</v>
      </c>
      <c r="Q405" s="15" t="s">
        <v>1489</v>
      </c>
      <c r="R405" s="24" t="s">
        <v>2964</v>
      </c>
    </row>
    <row r="406" spans="1:18" s="18" customFormat="1" ht="67.2" x14ac:dyDescent="0.3">
      <c r="A406" s="15" t="s">
        <v>1620</v>
      </c>
      <c r="B406" s="15" t="s">
        <v>390</v>
      </c>
      <c r="C406" s="15" t="s">
        <v>391</v>
      </c>
      <c r="D406" s="15" t="s">
        <v>1560</v>
      </c>
      <c r="E406" s="15" t="s">
        <v>1561</v>
      </c>
      <c r="F406" s="15" t="s">
        <v>1609</v>
      </c>
      <c r="G406" s="15" t="s">
        <v>1621</v>
      </c>
      <c r="H406" s="15" t="s">
        <v>1611</v>
      </c>
      <c r="I406" s="15">
        <v>740</v>
      </c>
      <c r="J406" s="15">
        <v>0</v>
      </c>
      <c r="K406" s="15"/>
      <c r="L406" s="15" t="s">
        <v>1622</v>
      </c>
      <c r="M406" s="16" t="s">
        <v>2576</v>
      </c>
      <c r="N406" s="16" t="s">
        <v>2576</v>
      </c>
      <c r="O406" s="16" t="s">
        <v>2576</v>
      </c>
      <c r="P406" s="15">
        <v>5000</v>
      </c>
      <c r="Q406" s="15" t="s">
        <v>1623</v>
      </c>
      <c r="R406" s="24" t="s">
        <v>2990</v>
      </c>
    </row>
    <row r="407" spans="1:18" s="18" customFormat="1" ht="134.4" x14ac:dyDescent="0.3">
      <c r="A407" s="15" t="s">
        <v>1624</v>
      </c>
      <c r="B407" s="15" t="s">
        <v>390</v>
      </c>
      <c r="C407" s="15" t="s">
        <v>391</v>
      </c>
      <c r="D407" s="15" t="s">
        <v>1560</v>
      </c>
      <c r="E407" s="15" t="s">
        <v>1561</v>
      </c>
      <c r="F407" s="15" t="s">
        <v>1609</v>
      </c>
      <c r="G407" s="15" t="s">
        <v>1625</v>
      </c>
      <c r="H407" s="15" t="s">
        <v>1611</v>
      </c>
      <c r="I407" s="15">
        <v>245</v>
      </c>
      <c r="J407" s="15">
        <v>0</v>
      </c>
      <c r="K407" s="15"/>
      <c r="L407" s="15" t="s">
        <v>1626</v>
      </c>
      <c r="M407" s="16" t="s">
        <v>2576</v>
      </c>
      <c r="N407" s="16" t="s">
        <v>2576</v>
      </c>
      <c r="O407" s="17" t="str">
        <f>IF(NOT("https://maps.app.goo.gl/dT6kJTV6k5NGPTyG9" = ""), HYPERLINK("https://maps.app.goo.gl/dT6kJTV6k5NGPTyG9", "موقع"), "")</f>
        <v>موقع</v>
      </c>
      <c r="P407" s="15">
        <v>6000</v>
      </c>
      <c r="Q407" s="15" t="s">
        <v>1627</v>
      </c>
      <c r="R407" s="24" t="s">
        <v>2991</v>
      </c>
    </row>
    <row r="408" spans="1:18" s="18" customFormat="1" ht="100.8" x14ac:dyDescent="0.3">
      <c r="A408" s="15" t="s">
        <v>1628</v>
      </c>
      <c r="B408" s="15" t="s">
        <v>390</v>
      </c>
      <c r="C408" s="15" t="s">
        <v>391</v>
      </c>
      <c r="D408" s="15" t="s">
        <v>1560</v>
      </c>
      <c r="E408" s="15" t="s">
        <v>1561</v>
      </c>
      <c r="F408" s="15" t="s">
        <v>1629</v>
      </c>
      <c r="G408" s="15" t="s">
        <v>1630</v>
      </c>
      <c r="H408" s="15" t="s">
        <v>1631</v>
      </c>
      <c r="I408" s="15">
        <v>724</v>
      </c>
      <c r="J408" s="15">
        <v>0</v>
      </c>
      <c r="K408" s="15"/>
      <c r="L408" s="15" t="s">
        <v>1632</v>
      </c>
      <c r="M408" s="16" t="s">
        <v>2576</v>
      </c>
      <c r="N408" s="16" t="s">
        <v>2576</v>
      </c>
      <c r="O408" s="16" t="s">
        <v>2576</v>
      </c>
      <c r="P408" s="15">
        <v>11000</v>
      </c>
      <c r="Q408" s="15" t="s">
        <v>1633</v>
      </c>
      <c r="R408" s="24" t="s">
        <v>2992</v>
      </c>
    </row>
    <row r="409" spans="1:18" s="18" customFormat="1" ht="50.4" x14ac:dyDescent="0.3">
      <c r="A409" s="15" t="s">
        <v>1634</v>
      </c>
      <c r="B409" s="15" t="s">
        <v>390</v>
      </c>
      <c r="C409" s="15" t="s">
        <v>391</v>
      </c>
      <c r="D409" s="15" t="s">
        <v>1560</v>
      </c>
      <c r="E409" s="15" t="s">
        <v>1561</v>
      </c>
      <c r="F409" s="15" t="s">
        <v>1629</v>
      </c>
      <c r="G409" s="15" t="s">
        <v>1635</v>
      </c>
      <c r="H409" s="15" t="s">
        <v>1631</v>
      </c>
      <c r="I409" s="15">
        <v>993</v>
      </c>
      <c r="J409" s="15">
        <v>0</v>
      </c>
      <c r="K409" s="15"/>
      <c r="L409" s="15" t="s">
        <v>1636</v>
      </c>
      <c r="M409" s="16" t="s">
        <v>2576</v>
      </c>
      <c r="N409" s="16" t="s">
        <v>2576</v>
      </c>
      <c r="O409" s="16" t="s">
        <v>2576</v>
      </c>
      <c r="P409" s="15">
        <v>20000</v>
      </c>
      <c r="Q409" s="15" t="s">
        <v>1637</v>
      </c>
      <c r="R409" s="24" t="s">
        <v>2993</v>
      </c>
    </row>
    <row r="410" spans="1:18" s="18" customFormat="1" ht="100.8" x14ac:dyDescent="0.3">
      <c r="A410" s="15" t="s">
        <v>1638</v>
      </c>
      <c r="B410" s="15" t="s">
        <v>390</v>
      </c>
      <c r="C410" s="15" t="s">
        <v>391</v>
      </c>
      <c r="D410" s="15" t="s">
        <v>1560</v>
      </c>
      <c r="E410" s="15" t="s">
        <v>1561</v>
      </c>
      <c r="F410" s="15" t="s">
        <v>1629</v>
      </c>
      <c r="G410" s="15" t="s">
        <v>1635</v>
      </c>
      <c r="H410" s="15" t="s">
        <v>1631</v>
      </c>
      <c r="I410" s="15">
        <v>994</v>
      </c>
      <c r="J410" s="15">
        <v>0</v>
      </c>
      <c r="K410" s="15"/>
      <c r="L410" s="15" t="s">
        <v>1639</v>
      </c>
      <c r="M410" s="16" t="s">
        <v>2576</v>
      </c>
      <c r="N410" s="16" t="s">
        <v>2576</v>
      </c>
      <c r="O410" s="16" t="s">
        <v>2576</v>
      </c>
      <c r="P410" s="15">
        <v>20000</v>
      </c>
      <c r="Q410" s="15" t="s">
        <v>1640</v>
      </c>
      <c r="R410" s="24" t="s">
        <v>2994</v>
      </c>
    </row>
    <row r="411" spans="1:18" s="18" customFormat="1" ht="50.4" x14ac:dyDescent="0.3">
      <c r="A411" s="15" t="s">
        <v>1641</v>
      </c>
      <c r="B411" s="15" t="s">
        <v>390</v>
      </c>
      <c r="C411" s="15" t="s">
        <v>391</v>
      </c>
      <c r="D411" s="15" t="s">
        <v>1560</v>
      </c>
      <c r="E411" s="15" t="s">
        <v>1561</v>
      </c>
      <c r="F411" s="15" t="s">
        <v>1642</v>
      </c>
      <c r="G411" s="15" t="s">
        <v>1643</v>
      </c>
      <c r="H411" s="15" t="s">
        <v>1644</v>
      </c>
      <c r="I411" s="15">
        <v>37</v>
      </c>
      <c r="J411" s="15">
        <v>0</v>
      </c>
      <c r="K411" s="15"/>
      <c r="L411" s="15" t="s">
        <v>1645</v>
      </c>
      <c r="M411" s="16" t="s">
        <v>2576</v>
      </c>
      <c r="N411" s="16" t="s">
        <v>2576</v>
      </c>
      <c r="O411" s="16" t="s">
        <v>2576</v>
      </c>
      <c r="P411" s="15">
        <v>34000</v>
      </c>
      <c r="Q411" s="15" t="s">
        <v>1646</v>
      </c>
      <c r="R411" s="24" t="s">
        <v>2995</v>
      </c>
    </row>
    <row r="412" spans="1:18" s="18" customFormat="1" ht="100.8" x14ac:dyDescent="0.3">
      <c r="A412" s="15" t="s">
        <v>1647</v>
      </c>
      <c r="B412" s="15" t="s">
        <v>390</v>
      </c>
      <c r="C412" s="15" t="s">
        <v>391</v>
      </c>
      <c r="D412" s="15" t="s">
        <v>1560</v>
      </c>
      <c r="E412" s="15" t="s">
        <v>1561</v>
      </c>
      <c r="F412" s="15" t="s">
        <v>1629</v>
      </c>
      <c r="G412" s="15" t="s">
        <v>1635</v>
      </c>
      <c r="H412" s="15" t="s">
        <v>1631</v>
      </c>
      <c r="I412" s="15">
        <v>996</v>
      </c>
      <c r="J412" s="15">
        <v>0</v>
      </c>
      <c r="K412" s="15"/>
      <c r="L412" s="15" t="s">
        <v>1648</v>
      </c>
      <c r="M412" s="16" t="s">
        <v>2576</v>
      </c>
      <c r="N412" s="16" t="s">
        <v>2576</v>
      </c>
      <c r="O412" s="16" t="s">
        <v>2576</v>
      </c>
      <c r="P412" s="15">
        <v>40000</v>
      </c>
      <c r="Q412" s="15" t="s">
        <v>1649</v>
      </c>
      <c r="R412" s="24" t="s">
        <v>2996</v>
      </c>
    </row>
    <row r="413" spans="1:18" s="18" customFormat="1" ht="100.8" x14ac:dyDescent="0.3">
      <c r="A413" s="15" t="s">
        <v>1650</v>
      </c>
      <c r="B413" s="15" t="s">
        <v>390</v>
      </c>
      <c r="C413" s="15" t="s">
        <v>391</v>
      </c>
      <c r="D413" s="15" t="s">
        <v>1560</v>
      </c>
      <c r="E413" s="15" t="s">
        <v>1561</v>
      </c>
      <c r="F413" s="15" t="s">
        <v>1562</v>
      </c>
      <c r="G413" s="15" t="s">
        <v>1651</v>
      </c>
      <c r="H413" s="15" t="s">
        <v>1652</v>
      </c>
      <c r="I413" s="15">
        <v>306</v>
      </c>
      <c r="J413" s="15">
        <v>0</v>
      </c>
      <c r="K413" s="15"/>
      <c r="L413" s="15" t="s">
        <v>1653</v>
      </c>
      <c r="M413" s="16" t="s">
        <v>2576</v>
      </c>
      <c r="N413" s="16" t="s">
        <v>2576</v>
      </c>
      <c r="O413" s="17" t="str">
        <f>IF(NOT("https://maps.app.goo.gl/K8zsdyQ4hX6ALtGE9" = ""), HYPERLINK("https://maps.app.goo.gl/K8zsdyQ4hX6ALtGE9", "موقع"), "")</f>
        <v>موقع</v>
      </c>
      <c r="P413" s="15">
        <v>49000</v>
      </c>
      <c r="Q413" s="15" t="s">
        <v>1654</v>
      </c>
      <c r="R413" s="24" t="s">
        <v>2997</v>
      </c>
    </row>
    <row r="414" spans="1:18" s="18" customFormat="1" ht="67.2" x14ac:dyDescent="0.3">
      <c r="A414" s="15" t="s">
        <v>1655</v>
      </c>
      <c r="B414" s="15" t="s">
        <v>390</v>
      </c>
      <c r="C414" s="15" t="s">
        <v>391</v>
      </c>
      <c r="D414" s="15" t="s">
        <v>1560</v>
      </c>
      <c r="E414" s="15" t="s">
        <v>1561</v>
      </c>
      <c r="F414" s="15" t="s">
        <v>1609</v>
      </c>
      <c r="G414" s="15" t="s">
        <v>1656</v>
      </c>
      <c r="H414" s="15" t="s">
        <v>1611</v>
      </c>
      <c r="I414" s="15">
        <v>703</v>
      </c>
      <c r="J414" s="15">
        <v>0</v>
      </c>
      <c r="K414" s="15"/>
      <c r="L414" s="15" t="s">
        <v>1657</v>
      </c>
      <c r="M414" s="16" t="s">
        <v>2576</v>
      </c>
      <c r="N414" s="16" t="s">
        <v>2576</v>
      </c>
      <c r="O414" s="16" t="s">
        <v>2576</v>
      </c>
      <c r="P414" s="15">
        <v>73000</v>
      </c>
      <c r="Q414" s="15" t="s">
        <v>1623</v>
      </c>
      <c r="R414" s="24" t="s">
        <v>2998</v>
      </c>
    </row>
    <row r="415" spans="1:18" s="18" customFormat="1" ht="67.2" x14ac:dyDescent="0.3">
      <c r="A415" s="15" t="s">
        <v>1658</v>
      </c>
      <c r="B415" s="15" t="s">
        <v>390</v>
      </c>
      <c r="C415" s="15" t="s">
        <v>391</v>
      </c>
      <c r="D415" s="15" t="s">
        <v>1560</v>
      </c>
      <c r="E415" s="15" t="s">
        <v>1561</v>
      </c>
      <c r="F415" s="15" t="s">
        <v>1609</v>
      </c>
      <c r="G415" s="15" t="s">
        <v>1659</v>
      </c>
      <c r="H415" s="15" t="s">
        <v>1611</v>
      </c>
      <c r="I415" s="15">
        <v>16</v>
      </c>
      <c r="J415" s="15">
        <v>0</v>
      </c>
      <c r="K415" s="15"/>
      <c r="L415" s="15" t="s">
        <v>1660</v>
      </c>
      <c r="M415" s="16" t="s">
        <v>2576</v>
      </c>
      <c r="N415" s="16" t="s">
        <v>2576</v>
      </c>
      <c r="O415" s="16" t="s">
        <v>2576</v>
      </c>
      <c r="P415" s="15">
        <v>76000</v>
      </c>
      <c r="Q415" s="15" t="s">
        <v>1623</v>
      </c>
      <c r="R415" s="24" t="s">
        <v>2999</v>
      </c>
    </row>
    <row r="416" spans="1:18" s="18" customFormat="1" ht="184.8" x14ac:dyDescent="0.3">
      <c r="A416" s="15" t="s">
        <v>1559</v>
      </c>
      <c r="B416" s="15" t="s">
        <v>262</v>
      </c>
      <c r="C416" s="15" t="s">
        <v>263</v>
      </c>
      <c r="D416" s="15" t="s">
        <v>1560</v>
      </c>
      <c r="E416" s="15" t="s">
        <v>1561</v>
      </c>
      <c r="F416" s="15" t="s">
        <v>1562</v>
      </c>
      <c r="G416" s="15" t="s">
        <v>1563</v>
      </c>
      <c r="H416" s="15" t="s">
        <v>1564</v>
      </c>
      <c r="I416" s="15">
        <v>201</v>
      </c>
      <c r="J416" s="15">
        <v>0</v>
      </c>
      <c r="K416" s="15"/>
      <c r="L416" s="15" t="s">
        <v>1565</v>
      </c>
      <c r="M416" s="16" t="s">
        <v>2576</v>
      </c>
      <c r="N416" s="16" t="s">
        <v>2576</v>
      </c>
      <c r="O416" s="17" t="str">
        <f>IF(NOT("https://maps.app.goo.gl/HpwzmeKxKUEVLoYZ7" = ""), HYPERLINK("https://maps.app.goo.gl/HpwzmeKxKUEVLoYZ7", "موقع"), "")</f>
        <v>موقع</v>
      </c>
      <c r="P416" s="15">
        <v>397000</v>
      </c>
      <c r="Q416" s="15" t="s">
        <v>1566</v>
      </c>
      <c r="R416" s="24" t="s">
        <v>2980</v>
      </c>
    </row>
    <row r="417" spans="1:18" s="18" customFormat="1" ht="117.6" x14ac:dyDescent="0.3">
      <c r="A417" s="15" t="s">
        <v>1567</v>
      </c>
      <c r="B417" s="15" t="s">
        <v>262</v>
      </c>
      <c r="C417" s="15" t="s">
        <v>281</v>
      </c>
      <c r="D417" s="15" t="s">
        <v>1560</v>
      </c>
      <c r="E417" s="15" t="s">
        <v>1561</v>
      </c>
      <c r="F417" s="15" t="s">
        <v>1568</v>
      </c>
      <c r="G417" s="15" t="s">
        <v>1569</v>
      </c>
      <c r="H417" s="15" t="s">
        <v>1570</v>
      </c>
      <c r="I417" s="15">
        <v>48</v>
      </c>
      <c r="J417" s="15">
        <v>0</v>
      </c>
      <c r="K417" s="15"/>
      <c r="L417" s="15" t="s">
        <v>1571</v>
      </c>
      <c r="M417" s="16" t="s">
        <v>2576</v>
      </c>
      <c r="N417" s="16" t="s">
        <v>2576</v>
      </c>
      <c r="O417" s="16" t="s">
        <v>2576</v>
      </c>
      <c r="P417" s="15">
        <v>17000</v>
      </c>
      <c r="Q417" s="15" t="s">
        <v>1572</v>
      </c>
      <c r="R417" s="24" t="s">
        <v>2981</v>
      </c>
    </row>
    <row r="418" spans="1:18" s="18" customFormat="1" ht="218.4" x14ac:dyDescent="0.3">
      <c r="A418" s="15" t="s">
        <v>1573</v>
      </c>
      <c r="B418" s="15" t="s">
        <v>262</v>
      </c>
      <c r="C418" s="15" t="s">
        <v>281</v>
      </c>
      <c r="D418" s="15" t="s">
        <v>1560</v>
      </c>
      <c r="E418" s="15" t="s">
        <v>1574</v>
      </c>
      <c r="F418" s="15" t="s">
        <v>1575</v>
      </c>
      <c r="G418" s="15" t="s">
        <v>1576</v>
      </c>
      <c r="H418" s="15" t="s">
        <v>1577</v>
      </c>
      <c r="I418" s="15">
        <v>732</v>
      </c>
      <c r="J418" s="15">
        <v>0</v>
      </c>
      <c r="K418" s="15"/>
      <c r="L418" s="15" t="s">
        <v>1578</v>
      </c>
      <c r="M418" s="16" t="s">
        <v>2576</v>
      </c>
      <c r="N418" s="16" t="s">
        <v>2576</v>
      </c>
      <c r="O418" s="17" t="str">
        <f>IF(NOT("https://maps.app.goo.gl/rFUTyaqvDHACyK45A" = ""), HYPERLINK("https://maps.app.goo.gl/rFUTyaqvDHACyK45A", "موقع"), "")</f>
        <v>موقع</v>
      </c>
      <c r="P418" s="15">
        <v>18000</v>
      </c>
      <c r="Q418" s="15" t="s">
        <v>1579</v>
      </c>
      <c r="R418" s="24" t="s">
        <v>2982</v>
      </c>
    </row>
    <row r="419" spans="1:18" s="18" customFormat="1" ht="336" x14ac:dyDescent="0.3">
      <c r="A419" s="15" t="s">
        <v>1580</v>
      </c>
      <c r="B419" s="15" t="s">
        <v>262</v>
      </c>
      <c r="C419" s="15" t="s">
        <v>281</v>
      </c>
      <c r="D419" s="15" t="s">
        <v>1560</v>
      </c>
      <c r="E419" s="15" t="s">
        <v>1561</v>
      </c>
      <c r="F419" s="15" t="s">
        <v>1581</v>
      </c>
      <c r="G419" s="15" t="s">
        <v>1582</v>
      </c>
      <c r="H419" s="15" t="s">
        <v>1583</v>
      </c>
      <c r="I419" s="15">
        <v>715</v>
      </c>
      <c r="J419" s="15">
        <v>0</v>
      </c>
      <c r="K419" s="15"/>
      <c r="L419" s="15" t="s">
        <v>1584</v>
      </c>
      <c r="M419" s="16" t="s">
        <v>2576</v>
      </c>
      <c r="N419" s="16" t="s">
        <v>2576</v>
      </c>
      <c r="O419" s="17" t="str">
        <f>IF(NOT("https://maps.app.goo.gl/UpXAnNYzm3PvHZLJ6" = ""), HYPERLINK("https://maps.app.goo.gl/UpXAnNYzm3PvHZLJ6", "موقع"), "")</f>
        <v>موقع</v>
      </c>
      <c r="P419" s="15">
        <v>25000</v>
      </c>
      <c r="Q419" s="15" t="s">
        <v>1585</v>
      </c>
      <c r="R419" s="24" t="s">
        <v>2983</v>
      </c>
    </row>
    <row r="420" spans="1:18" s="18" customFormat="1" ht="117.6" x14ac:dyDescent="0.3">
      <c r="A420" s="15" t="s">
        <v>1586</v>
      </c>
      <c r="B420" s="15" t="s">
        <v>262</v>
      </c>
      <c r="C420" s="15" t="s">
        <v>281</v>
      </c>
      <c r="D420" s="15" t="s">
        <v>1560</v>
      </c>
      <c r="E420" s="15" t="s">
        <v>1574</v>
      </c>
      <c r="F420" s="15" t="s">
        <v>1587</v>
      </c>
      <c r="G420" s="15" t="s">
        <v>1588</v>
      </c>
      <c r="H420" s="15" t="s">
        <v>1589</v>
      </c>
      <c r="I420" s="15">
        <v>762</v>
      </c>
      <c r="J420" s="15">
        <v>0</v>
      </c>
      <c r="K420" s="15"/>
      <c r="L420" s="15" t="s">
        <v>1590</v>
      </c>
      <c r="M420" s="16" t="s">
        <v>2576</v>
      </c>
      <c r="N420" s="16" t="s">
        <v>2576</v>
      </c>
      <c r="O420" s="16" t="s">
        <v>2576</v>
      </c>
      <c r="P420" s="15">
        <v>29000</v>
      </c>
      <c r="Q420" s="15" t="s">
        <v>1591</v>
      </c>
      <c r="R420" s="24" t="s">
        <v>2984</v>
      </c>
    </row>
    <row r="421" spans="1:18" s="18" customFormat="1" ht="268.8" x14ac:dyDescent="0.3">
      <c r="A421" s="15" t="s">
        <v>1592</v>
      </c>
      <c r="B421" s="15" t="s">
        <v>262</v>
      </c>
      <c r="C421" s="15" t="s">
        <v>281</v>
      </c>
      <c r="D421" s="15" t="s">
        <v>1560</v>
      </c>
      <c r="E421" s="15" t="s">
        <v>1561</v>
      </c>
      <c r="F421" s="15" t="s">
        <v>1593</v>
      </c>
      <c r="G421" s="15" t="s">
        <v>1594</v>
      </c>
      <c r="H421" s="15" t="s">
        <v>1595</v>
      </c>
      <c r="I421" s="15">
        <v>490</v>
      </c>
      <c r="J421" s="15">
        <v>0</v>
      </c>
      <c r="K421" s="15"/>
      <c r="L421" s="15" t="s">
        <v>1596</v>
      </c>
      <c r="M421" s="16" t="s">
        <v>2576</v>
      </c>
      <c r="N421" s="16" t="s">
        <v>2576</v>
      </c>
      <c r="O421" s="17" t="str">
        <f>IF(NOT("https://maps.app.goo.gl/dN865BrbXKDGjGUB7" = ""), HYPERLINK("https://maps.app.goo.gl/dN865BrbXKDGjGUB7", "موقع"), "")</f>
        <v>موقع</v>
      </c>
      <c r="P421" s="15">
        <v>33000</v>
      </c>
      <c r="Q421" s="15" t="s">
        <v>1597</v>
      </c>
      <c r="R421" s="24" t="s">
        <v>2985</v>
      </c>
    </row>
    <row r="422" spans="1:18" s="18" customFormat="1" ht="168" x14ac:dyDescent="0.3">
      <c r="A422" s="15" t="s">
        <v>1598</v>
      </c>
      <c r="B422" s="15" t="s">
        <v>262</v>
      </c>
      <c r="C422" s="15" t="s">
        <v>281</v>
      </c>
      <c r="D422" s="15" t="s">
        <v>1560</v>
      </c>
      <c r="E422" s="15" t="s">
        <v>1561</v>
      </c>
      <c r="F422" s="15" t="s">
        <v>1562</v>
      </c>
      <c r="G422" s="15" t="s">
        <v>1599</v>
      </c>
      <c r="H422" s="15" t="s">
        <v>318</v>
      </c>
      <c r="I422" s="15">
        <v>700</v>
      </c>
      <c r="J422" s="15">
        <v>0</v>
      </c>
      <c r="K422" s="15"/>
      <c r="L422" s="15" t="s">
        <v>1600</v>
      </c>
      <c r="M422" s="16" t="s">
        <v>2576</v>
      </c>
      <c r="N422" s="16" t="s">
        <v>2576</v>
      </c>
      <c r="O422" s="17" t="str">
        <f>IF(NOT("https://maps.app.goo.gl/AfnSgEKkf22T5P819" = ""), HYPERLINK("https://maps.app.goo.gl/AfnSgEKkf22T5P819", "موقع"), "")</f>
        <v>موقع</v>
      </c>
      <c r="P422" s="15">
        <v>43000</v>
      </c>
      <c r="Q422" s="15" t="s">
        <v>3034</v>
      </c>
      <c r="R422" s="24" t="s">
        <v>2986</v>
      </c>
    </row>
    <row r="423" spans="1:18" s="18" customFormat="1" ht="252" x14ac:dyDescent="0.3">
      <c r="A423" s="15" t="s">
        <v>1602</v>
      </c>
      <c r="B423" s="15" t="s">
        <v>262</v>
      </c>
      <c r="C423" s="15" t="s">
        <v>281</v>
      </c>
      <c r="D423" s="15" t="s">
        <v>1560</v>
      </c>
      <c r="E423" s="15" t="s">
        <v>1561</v>
      </c>
      <c r="F423" s="15" t="s">
        <v>1603</v>
      </c>
      <c r="G423" s="15" t="s">
        <v>1604</v>
      </c>
      <c r="H423" s="15" t="s">
        <v>1605</v>
      </c>
      <c r="I423" s="15">
        <v>735</v>
      </c>
      <c r="J423" s="15">
        <v>0</v>
      </c>
      <c r="K423" s="15"/>
      <c r="L423" s="15" t="s">
        <v>1606</v>
      </c>
      <c r="M423" s="16" t="s">
        <v>2576</v>
      </c>
      <c r="N423" s="16" t="s">
        <v>2576</v>
      </c>
      <c r="O423" s="16" t="s">
        <v>2576</v>
      </c>
      <c r="P423" s="15">
        <v>60000</v>
      </c>
      <c r="Q423" s="15" t="s">
        <v>1607</v>
      </c>
      <c r="R423" s="24" t="s">
        <v>2987</v>
      </c>
    </row>
    <row r="424" spans="1:18" s="18" customFormat="1" ht="252" x14ac:dyDescent="0.3">
      <c r="A424" s="15" t="s">
        <v>1608</v>
      </c>
      <c r="B424" s="15" t="s">
        <v>262</v>
      </c>
      <c r="C424" s="15" t="s">
        <v>281</v>
      </c>
      <c r="D424" s="15" t="s">
        <v>1560</v>
      </c>
      <c r="E424" s="15" t="s">
        <v>1561</v>
      </c>
      <c r="F424" s="15" t="s">
        <v>1609</v>
      </c>
      <c r="G424" s="15" t="s">
        <v>1610</v>
      </c>
      <c r="H424" s="15" t="s">
        <v>1611</v>
      </c>
      <c r="I424" s="15">
        <v>98</v>
      </c>
      <c r="J424" s="15">
        <v>0</v>
      </c>
      <c r="K424" s="15"/>
      <c r="L424" s="15" t="s">
        <v>1612</v>
      </c>
      <c r="M424" s="16" t="s">
        <v>2576</v>
      </c>
      <c r="N424" s="16" t="s">
        <v>2576</v>
      </c>
      <c r="O424" s="17" t="str">
        <f>IF(NOT("https://maps.app.goo.gl/k355T1oootKL9wnWA" = ""), HYPERLINK("https://maps.app.goo.gl/k355T1oootKL9wnWA", "موقع"), "")</f>
        <v>موقع</v>
      </c>
      <c r="P424" s="15">
        <v>121000</v>
      </c>
      <c r="Q424" s="15" t="s">
        <v>1613</v>
      </c>
      <c r="R424" s="24" t="s">
        <v>2988</v>
      </c>
    </row>
    <row r="425" spans="1:18" s="18" customFormat="1" ht="117.6" x14ac:dyDescent="0.3">
      <c r="A425" s="15" t="s">
        <v>1614</v>
      </c>
      <c r="B425" s="15" t="s">
        <v>262</v>
      </c>
      <c r="C425" s="15" t="s">
        <v>281</v>
      </c>
      <c r="D425" s="15" t="s">
        <v>1560</v>
      </c>
      <c r="E425" s="15" t="s">
        <v>1561</v>
      </c>
      <c r="F425" s="15" t="s">
        <v>1615</v>
      </c>
      <c r="G425" s="15" t="s">
        <v>1616</v>
      </c>
      <c r="H425" s="15" t="s">
        <v>1617</v>
      </c>
      <c r="I425" s="15">
        <v>463</v>
      </c>
      <c r="J425" s="15">
        <v>0</v>
      </c>
      <c r="K425" s="15"/>
      <c r="L425" s="15" t="s">
        <v>1618</v>
      </c>
      <c r="M425" s="16" t="s">
        <v>2576</v>
      </c>
      <c r="N425" s="16" t="s">
        <v>2576</v>
      </c>
      <c r="O425" s="16" t="s">
        <v>2576</v>
      </c>
      <c r="P425" s="15">
        <v>177000</v>
      </c>
      <c r="Q425" s="15" t="s">
        <v>1619</v>
      </c>
      <c r="R425" s="24" t="s">
        <v>2989</v>
      </c>
    </row>
    <row r="426" spans="1:18" s="18" customFormat="1" ht="84" x14ac:dyDescent="0.3">
      <c r="A426" s="15" t="s">
        <v>1661</v>
      </c>
      <c r="B426" s="15" t="s">
        <v>262</v>
      </c>
      <c r="C426" s="15" t="s">
        <v>421</v>
      </c>
      <c r="D426" s="15" t="s">
        <v>1560</v>
      </c>
      <c r="E426" s="15" t="s">
        <v>1561</v>
      </c>
      <c r="F426" s="15" t="s">
        <v>1662</v>
      </c>
      <c r="G426" s="15" t="s">
        <v>1563</v>
      </c>
      <c r="H426" s="15" t="s">
        <v>1644</v>
      </c>
      <c r="I426" s="15">
        <v>706</v>
      </c>
      <c r="J426" s="15">
        <v>0</v>
      </c>
      <c r="K426" s="15"/>
      <c r="L426" s="15" t="s">
        <v>1663</v>
      </c>
      <c r="M426" s="16" t="s">
        <v>2576</v>
      </c>
      <c r="N426" s="16" t="s">
        <v>2576</v>
      </c>
      <c r="O426" s="17" t="str">
        <f>IF(NOT("https://maps.app.goo.gl/RFbjktinC4wAW5hL7" = ""), HYPERLINK("https://maps.app.goo.gl/RFbjktinC4wAW5hL7", "موقع"), "")</f>
        <v>موقع</v>
      </c>
      <c r="P426" s="15">
        <v>17000</v>
      </c>
      <c r="Q426" s="15" t="s">
        <v>1664</v>
      </c>
      <c r="R426" s="24" t="s">
        <v>3000</v>
      </c>
    </row>
    <row r="427" spans="1:18" s="18" customFormat="1" ht="117.6" x14ac:dyDescent="0.3">
      <c r="A427" s="15" t="s">
        <v>1688</v>
      </c>
      <c r="B427" s="15" t="s">
        <v>390</v>
      </c>
      <c r="C427" s="15" t="s">
        <v>391</v>
      </c>
      <c r="D427" s="15" t="s">
        <v>1666</v>
      </c>
      <c r="E427" s="15" t="s">
        <v>1667</v>
      </c>
      <c r="F427" s="15" t="s">
        <v>1668</v>
      </c>
      <c r="G427" s="15" t="s">
        <v>1689</v>
      </c>
      <c r="H427" s="15" t="s">
        <v>318</v>
      </c>
      <c r="I427" s="15">
        <v>1602</v>
      </c>
      <c r="J427" s="15">
        <v>0</v>
      </c>
      <c r="K427" s="15"/>
      <c r="L427" s="15" t="s">
        <v>1690</v>
      </c>
      <c r="M427" s="16" t="s">
        <v>2576</v>
      </c>
      <c r="N427" s="17" t="str">
        <f>IF(NOT("https://www.true-markets.net/media/360tour/housing-bank/1602/index.html" = ""), HYPERLINK("https://www.true-markets.net/media/360tour/housing-bank/1602/index.html", "جولة"), "")</f>
        <v>جولة</v>
      </c>
      <c r="O427" s="17" t="str">
        <f>IF(NOT("https://maps.app.goo.gl/KaBoiGDnFFndWYHSA" = ""), HYPERLINK("https://maps.app.goo.gl/KaBoiGDnFFndWYHSA", "موقع"), "")</f>
        <v>موقع</v>
      </c>
      <c r="P427" s="15">
        <v>100000</v>
      </c>
      <c r="Q427" s="15" t="s">
        <v>1691</v>
      </c>
      <c r="R427" s="24" t="s">
        <v>3006</v>
      </c>
    </row>
    <row r="428" spans="1:18" s="18" customFormat="1" ht="184.8" x14ac:dyDescent="0.3">
      <c r="A428" s="15" t="s">
        <v>1671</v>
      </c>
      <c r="B428" s="15" t="s">
        <v>262</v>
      </c>
      <c r="C428" s="15" t="s">
        <v>263</v>
      </c>
      <c r="D428" s="15" t="s">
        <v>1666</v>
      </c>
      <c r="E428" s="15" t="s">
        <v>1667</v>
      </c>
      <c r="F428" s="15" t="s">
        <v>1668</v>
      </c>
      <c r="G428" s="15" t="s">
        <v>1672</v>
      </c>
      <c r="H428" s="15" t="s">
        <v>318</v>
      </c>
      <c r="I428" s="15">
        <v>348</v>
      </c>
      <c r="J428" s="15">
        <v>0</v>
      </c>
      <c r="K428" s="15"/>
      <c r="L428" s="15" t="s">
        <v>1673</v>
      </c>
      <c r="M428" s="16" t="s">
        <v>2576</v>
      </c>
      <c r="N428" s="16" t="s">
        <v>2576</v>
      </c>
      <c r="O428" s="17" t="str">
        <f>IF(NOT("https://maps.app.goo.gl/xE3sXfjyUEiWQcwe9" = ""), HYPERLINK("https://maps.app.goo.gl/xE3sXfjyUEiWQcwe9", "موقع"), "")</f>
        <v>موقع</v>
      </c>
      <c r="P428" s="15">
        <v>341000</v>
      </c>
      <c r="Q428" s="15" t="s">
        <v>1674</v>
      </c>
      <c r="R428" s="24" t="s">
        <v>3002</v>
      </c>
    </row>
    <row r="429" spans="1:18" s="18" customFormat="1" ht="117.6" x14ac:dyDescent="0.3">
      <c r="A429" s="15" t="s">
        <v>1675</v>
      </c>
      <c r="B429" s="15" t="s">
        <v>262</v>
      </c>
      <c r="C429" s="15" t="s">
        <v>281</v>
      </c>
      <c r="D429" s="15" t="s">
        <v>1666</v>
      </c>
      <c r="E429" s="15" t="s">
        <v>1667</v>
      </c>
      <c r="F429" s="15" t="s">
        <v>1676</v>
      </c>
      <c r="G429" s="15" t="s">
        <v>1677</v>
      </c>
      <c r="H429" s="15" t="s">
        <v>1678</v>
      </c>
      <c r="I429" s="15">
        <v>715</v>
      </c>
      <c r="J429" s="15">
        <v>0</v>
      </c>
      <c r="K429" s="15"/>
      <c r="L429" s="15" t="s">
        <v>1679</v>
      </c>
      <c r="M429" s="16" t="s">
        <v>2576</v>
      </c>
      <c r="N429" s="16" t="s">
        <v>2576</v>
      </c>
      <c r="O429" s="16" t="s">
        <v>2576</v>
      </c>
      <c r="P429" s="15">
        <v>77000</v>
      </c>
      <c r="Q429" s="15" t="s">
        <v>1680</v>
      </c>
      <c r="R429" s="24" t="s">
        <v>3003</v>
      </c>
    </row>
    <row r="430" spans="1:18" s="18" customFormat="1" ht="67.2" x14ac:dyDescent="0.3">
      <c r="A430" s="15" t="s">
        <v>1681</v>
      </c>
      <c r="B430" s="15" t="s">
        <v>262</v>
      </c>
      <c r="C430" s="15" t="s">
        <v>281</v>
      </c>
      <c r="D430" s="15" t="s">
        <v>1666</v>
      </c>
      <c r="E430" s="15" t="s">
        <v>1667</v>
      </c>
      <c r="F430" s="15" t="s">
        <v>1668</v>
      </c>
      <c r="G430" s="15" t="s">
        <v>1669</v>
      </c>
      <c r="H430" s="15" t="s">
        <v>318</v>
      </c>
      <c r="I430" s="15">
        <v>2253</v>
      </c>
      <c r="J430" s="15">
        <v>0</v>
      </c>
      <c r="K430" s="15"/>
      <c r="L430" s="15" t="s">
        <v>1682</v>
      </c>
      <c r="M430" s="16" t="s">
        <v>2576</v>
      </c>
      <c r="N430" s="16" t="s">
        <v>2576</v>
      </c>
      <c r="O430" s="17" t="str">
        <f>IF(NOT("https://maps.app.goo.gl/TVq7WyBgkfJkvZHB6" = ""), HYPERLINK("https://maps.app.goo.gl/TVq7WyBgkfJkvZHB6", "موقع"), "")</f>
        <v>موقع</v>
      </c>
      <c r="P430" s="15">
        <v>78000</v>
      </c>
      <c r="Q430" s="15" t="s">
        <v>1683</v>
      </c>
      <c r="R430" s="24" t="s">
        <v>3004</v>
      </c>
    </row>
    <row r="431" spans="1:18" s="18" customFormat="1" ht="67.2" x14ac:dyDescent="0.3">
      <c r="A431" s="15" t="s">
        <v>1684</v>
      </c>
      <c r="B431" s="15" t="s">
        <v>262</v>
      </c>
      <c r="C431" s="15" t="s">
        <v>281</v>
      </c>
      <c r="D431" s="15" t="s">
        <v>1666</v>
      </c>
      <c r="E431" s="15" t="s">
        <v>1667</v>
      </c>
      <c r="F431" s="15" t="s">
        <v>1668</v>
      </c>
      <c r="G431" s="15" t="s">
        <v>1685</v>
      </c>
      <c r="H431" s="15" t="s">
        <v>318</v>
      </c>
      <c r="I431" s="15">
        <v>599</v>
      </c>
      <c r="J431" s="15">
        <v>0</v>
      </c>
      <c r="K431" s="15"/>
      <c r="L431" s="15" t="s">
        <v>1686</v>
      </c>
      <c r="M431" s="16" t="s">
        <v>2576</v>
      </c>
      <c r="N431" s="16" t="s">
        <v>2576</v>
      </c>
      <c r="O431" s="16" t="s">
        <v>2576</v>
      </c>
      <c r="P431" s="15">
        <v>314000</v>
      </c>
      <c r="Q431" s="15" t="s">
        <v>1687</v>
      </c>
      <c r="R431" s="24" t="s">
        <v>3005</v>
      </c>
    </row>
    <row r="432" spans="1:18" s="18" customFormat="1" ht="100.8" x14ac:dyDescent="0.3">
      <c r="A432" s="15" t="s">
        <v>1665</v>
      </c>
      <c r="B432" s="15" t="s">
        <v>20</v>
      </c>
      <c r="C432" s="15" t="s">
        <v>54</v>
      </c>
      <c r="D432" s="15" t="s">
        <v>1666</v>
      </c>
      <c r="E432" s="15" t="s">
        <v>1667</v>
      </c>
      <c r="F432" s="15" t="s">
        <v>1668</v>
      </c>
      <c r="G432" s="15" t="s">
        <v>1669</v>
      </c>
      <c r="H432" s="15" t="s">
        <v>318</v>
      </c>
      <c r="I432" s="15">
        <v>1239</v>
      </c>
      <c r="J432" s="15">
        <v>132</v>
      </c>
      <c r="K432" s="15" t="s">
        <v>50</v>
      </c>
      <c r="L432" s="15" t="s">
        <v>955</v>
      </c>
      <c r="M432" s="16" t="s">
        <v>2576</v>
      </c>
      <c r="N432" s="16" t="s">
        <v>2576</v>
      </c>
      <c r="O432" s="16" t="s">
        <v>2576</v>
      </c>
      <c r="P432" s="15">
        <v>33000</v>
      </c>
      <c r="Q432" s="15" t="s">
        <v>1670</v>
      </c>
      <c r="R432" s="24" t="s">
        <v>3001</v>
      </c>
    </row>
    <row r="433" spans="1:18" s="18" customFormat="1" ht="319.2" x14ac:dyDescent="0.3">
      <c r="A433" s="15" t="s">
        <v>1700</v>
      </c>
      <c r="B433" s="15" t="s">
        <v>390</v>
      </c>
      <c r="C433" s="15" t="s">
        <v>391</v>
      </c>
      <c r="D433" s="15" t="s">
        <v>1693</v>
      </c>
      <c r="E433" s="15" t="s">
        <v>1694</v>
      </c>
      <c r="F433" s="15" t="s">
        <v>1701</v>
      </c>
      <c r="G433" s="15" t="s">
        <v>1702</v>
      </c>
      <c r="H433" s="15" t="s">
        <v>551</v>
      </c>
      <c r="I433" s="15">
        <v>302</v>
      </c>
      <c r="J433" s="15">
        <v>0</v>
      </c>
      <c r="K433" s="15"/>
      <c r="L433" s="15" t="s">
        <v>1703</v>
      </c>
      <c r="M433" s="16" t="s">
        <v>2576</v>
      </c>
      <c r="N433" s="16" t="s">
        <v>2576</v>
      </c>
      <c r="O433" s="17" t="str">
        <f>IF(NOT("https://maps.app.goo.gl/pYfd6JHCkMS6CqcM9" = ""), HYPERLINK("https://maps.app.goo.gl/pYfd6JHCkMS6CqcM9", "موقع"), "")</f>
        <v>موقع</v>
      </c>
      <c r="P433" s="15">
        <v>106000</v>
      </c>
      <c r="Q433" s="15" t="s">
        <v>1704</v>
      </c>
      <c r="R433" s="24" t="s">
        <v>3008</v>
      </c>
    </row>
    <row r="434" spans="1:18" s="18" customFormat="1" ht="67.2" x14ac:dyDescent="0.3">
      <c r="A434" s="15" t="s">
        <v>1692</v>
      </c>
      <c r="B434" s="15" t="s">
        <v>262</v>
      </c>
      <c r="C434" s="15" t="s">
        <v>281</v>
      </c>
      <c r="D434" s="15" t="s">
        <v>1693</v>
      </c>
      <c r="E434" s="15" t="s">
        <v>1694</v>
      </c>
      <c r="F434" s="15" t="s">
        <v>1695</v>
      </c>
      <c r="G434" s="15" t="s">
        <v>1696</v>
      </c>
      <c r="H434" s="15" t="s">
        <v>1697</v>
      </c>
      <c r="I434" s="15">
        <v>76</v>
      </c>
      <c r="J434" s="15">
        <v>0</v>
      </c>
      <c r="K434" s="15"/>
      <c r="L434" s="15" t="s">
        <v>1698</v>
      </c>
      <c r="M434" s="16" t="s">
        <v>2576</v>
      </c>
      <c r="N434" s="16" t="s">
        <v>2576</v>
      </c>
      <c r="O434" s="17" t="str">
        <f>IF(NOT("https://maps.app.goo.gl/7HoWuNweyFZqUTVC8" = ""), HYPERLINK("https://maps.app.goo.gl/7HoWuNweyFZqUTVC8", "موقع"), "")</f>
        <v>موقع</v>
      </c>
      <c r="P434" s="15">
        <v>197000</v>
      </c>
      <c r="Q434" s="15" t="s">
        <v>1699</v>
      </c>
      <c r="R434" s="24" t="s">
        <v>3007</v>
      </c>
    </row>
    <row r="435" spans="1:18" s="18" customFormat="1" ht="151.19999999999999" x14ac:dyDescent="0.3">
      <c r="A435" s="15" t="s">
        <v>1723</v>
      </c>
      <c r="B435" s="15" t="s">
        <v>390</v>
      </c>
      <c r="C435" s="15" t="s">
        <v>391</v>
      </c>
      <c r="D435" s="15" t="s">
        <v>1706</v>
      </c>
      <c r="E435" s="15" t="s">
        <v>1724</v>
      </c>
      <c r="F435" s="15" t="s">
        <v>1725</v>
      </c>
      <c r="G435" s="15" t="s">
        <v>1726</v>
      </c>
      <c r="H435" s="15" t="s">
        <v>1727</v>
      </c>
      <c r="I435" s="15">
        <v>129</v>
      </c>
      <c r="J435" s="15">
        <v>0</v>
      </c>
      <c r="K435" s="15"/>
      <c r="L435" s="15" t="s">
        <v>1323</v>
      </c>
      <c r="M435" s="16" t="s">
        <v>2576</v>
      </c>
      <c r="N435" s="16" t="s">
        <v>2576</v>
      </c>
      <c r="O435" s="17" t="str">
        <f>IF(NOT("https://maps.app.goo.gl/kNG5M5KvurE2uci67" = ""), HYPERLINK("https://maps.app.goo.gl/kNG5M5KvurE2uci67", "موقع"), "")</f>
        <v>موقع</v>
      </c>
      <c r="P435" s="15">
        <v>12000</v>
      </c>
      <c r="Q435" s="15" t="s">
        <v>1728</v>
      </c>
      <c r="R435" s="24" t="s">
        <v>3012</v>
      </c>
    </row>
    <row r="436" spans="1:18" s="18" customFormat="1" ht="184.8" x14ac:dyDescent="0.3">
      <c r="A436" s="15" t="s">
        <v>1729</v>
      </c>
      <c r="B436" s="15" t="s">
        <v>390</v>
      </c>
      <c r="C436" s="15" t="s">
        <v>750</v>
      </c>
      <c r="D436" s="15" t="s">
        <v>1706</v>
      </c>
      <c r="E436" s="15" t="s">
        <v>1724</v>
      </c>
      <c r="F436" s="15" t="s">
        <v>1730</v>
      </c>
      <c r="G436" s="15" t="s">
        <v>1731</v>
      </c>
      <c r="H436" s="15" t="s">
        <v>1727</v>
      </c>
      <c r="I436" s="15">
        <v>27</v>
      </c>
      <c r="J436" s="15">
        <v>0</v>
      </c>
      <c r="K436" s="15"/>
      <c r="L436" s="15" t="s">
        <v>1732</v>
      </c>
      <c r="M436" s="16" t="s">
        <v>2576</v>
      </c>
      <c r="N436" s="16" t="s">
        <v>2576</v>
      </c>
      <c r="O436" s="17" t="str">
        <f>IF(NOT("https://maps.app.goo.gl/xi3VCsRSXeZzB3a26" = ""), HYPERLINK("https://maps.app.goo.gl/xi3VCsRSXeZzB3a26", "موقع"), "")</f>
        <v>موقع</v>
      </c>
      <c r="P436" s="15">
        <v>244000</v>
      </c>
      <c r="Q436" s="15" t="s">
        <v>1733</v>
      </c>
      <c r="R436" s="24" t="s">
        <v>3013</v>
      </c>
    </row>
    <row r="437" spans="1:18" s="18" customFormat="1" ht="235.2" x14ac:dyDescent="0.3">
      <c r="A437" s="15" t="s">
        <v>1718</v>
      </c>
      <c r="B437" s="15" t="s">
        <v>262</v>
      </c>
      <c r="C437" s="15" t="s">
        <v>281</v>
      </c>
      <c r="D437" s="15" t="s">
        <v>1706</v>
      </c>
      <c r="E437" s="15" t="s">
        <v>1707</v>
      </c>
      <c r="F437" s="15" t="s">
        <v>1719</v>
      </c>
      <c r="G437" s="15" t="s">
        <v>1720</v>
      </c>
      <c r="H437" s="15" t="s">
        <v>1716</v>
      </c>
      <c r="I437" s="15">
        <v>240</v>
      </c>
      <c r="J437" s="15">
        <v>0</v>
      </c>
      <c r="K437" s="15"/>
      <c r="L437" s="15" t="s">
        <v>1721</v>
      </c>
      <c r="M437" s="16" t="s">
        <v>2576</v>
      </c>
      <c r="N437" s="16" t="s">
        <v>2576</v>
      </c>
      <c r="O437" s="17" t="str">
        <f>IF(NOT("https://maps.app.goo.gl/zwdKSeXXDy4wGL3fA" = ""), HYPERLINK("https://maps.app.goo.gl/zwdKSeXXDy4wGL3fA", "موقع"), "")</f>
        <v>موقع</v>
      </c>
      <c r="P437" s="15">
        <v>119000</v>
      </c>
      <c r="Q437" s="15" t="s">
        <v>1722</v>
      </c>
      <c r="R437" s="24" t="s">
        <v>3011</v>
      </c>
    </row>
    <row r="438" spans="1:18" s="18" customFormat="1" ht="134.4" x14ac:dyDescent="0.3">
      <c r="A438" s="15" t="s">
        <v>1734</v>
      </c>
      <c r="B438" s="15" t="s">
        <v>262</v>
      </c>
      <c r="C438" s="15" t="s">
        <v>421</v>
      </c>
      <c r="D438" s="15" t="s">
        <v>1706</v>
      </c>
      <c r="E438" s="15" t="s">
        <v>1707</v>
      </c>
      <c r="F438" s="15" t="s">
        <v>1735</v>
      </c>
      <c r="G438" s="15" t="s">
        <v>1736</v>
      </c>
      <c r="H438" s="15" t="s">
        <v>1737</v>
      </c>
      <c r="I438" s="15">
        <v>702</v>
      </c>
      <c r="J438" s="15">
        <v>0</v>
      </c>
      <c r="K438" s="15"/>
      <c r="L438" s="15" t="s">
        <v>1738</v>
      </c>
      <c r="M438" s="16" t="s">
        <v>2576</v>
      </c>
      <c r="N438" s="16" t="s">
        <v>2576</v>
      </c>
      <c r="O438" s="17" t="str">
        <f>IF(NOT("https://maps.app.goo.gl/53XE135Wgb8fsd6x9" = ""), HYPERLINK("https://maps.app.goo.gl/53XE135Wgb8fsd6x9", "موقع"), "")</f>
        <v>موقع</v>
      </c>
      <c r="P438" s="15">
        <v>52000</v>
      </c>
      <c r="Q438" s="15" t="s">
        <v>1739</v>
      </c>
      <c r="R438" s="24" t="s">
        <v>3014</v>
      </c>
    </row>
    <row r="439" spans="1:18" s="18" customFormat="1" ht="100.8" x14ac:dyDescent="0.3">
      <c r="A439" s="15" t="s">
        <v>1705</v>
      </c>
      <c r="B439" s="15" t="s">
        <v>20</v>
      </c>
      <c r="C439" s="15" t="s">
        <v>54</v>
      </c>
      <c r="D439" s="15" t="s">
        <v>1706</v>
      </c>
      <c r="E439" s="15" t="s">
        <v>1707</v>
      </c>
      <c r="F439" s="15" t="s">
        <v>1708</v>
      </c>
      <c r="G439" s="15" t="s">
        <v>1709</v>
      </c>
      <c r="H439" s="15" t="s">
        <v>1710</v>
      </c>
      <c r="I439" s="15">
        <v>1284</v>
      </c>
      <c r="J439" s="15">
        <v>113</v>
      </c>
      <c r="K439" s="15" t="s">
        <v>32</v>
      </c>
      <c r="L439" s="15" t="s">
        <v>1711</v>
      </c>
      <c r="M439" s="16" t="s">
        <v>2576</v>
      </c>
      <c r="N439" s="16" t="s">
        <v>2576</v>
      </c>
      <c r="O439" s="16" t="s">
        <v>2576</v>
      </c>
      <c r="P439" s="15">
        <v>18000</v>
      </c>
      <c r="Q439" s="15" t="s">
        <v>1712</v>
      </c>
      <c r="R439" s="24" t="s">
        <v>3009</v>
      </c>
    </row>
    <row r="440" spans="1:18" s="18" customFormat="1" ht="100.8" x14ac:dyDescent="0.3">
      <c r="A440" s="15" t="s">
        <v>1713</v>
      </c>
      <c r="B440" s="15" t="s">
        <v>20</v>
      </c>
      <c r="C440" s="15" t="s">
        <v>54</v>
      </c>
      <c r="D440" s="15" t="s">
        <v>1706</v>
      </c>
      <c r="E440" s="15" t="s">
        <v>1707</v>
      </c>
      <c r="F440" s="15" t="s">
        <v>1714</v>
      </c>
      <c r="G440" s="15" t="s">
        <v>1715</v>
      </c>
      <c r="H440" s="15" t="s">
        <v>1716</v>
      </c>
      <c r="I440" s="15">
        <v>1179</v>
      </c>
      <c r="J440" s="15">
        <v>131</v>
      </c>
      <c r="K440" s="15" t="s">
        <v>50</v>
      </c>
      <c r="L440" s="15" t="s">
        <v>1156</v>
      </c>
      <c r="M440" s="16" t="s">
        <v>2576</v>
      </c>
      <c r="N440" s="16" t="s">
        <v>2576</v>
      </c>
      <c r="O440" s="17" t="str">
        <f>IF(NOT("https://maps.app.goo.gl/WkaV4oQ8B8teN9ky7" = ""), HYPERLINK("https://maps.app.goo.gl/WkaV4oQ8B8teN9ky7", "موقع"), "")</f>
        <v>موقع</v>
      </c>
      <c r="P440" s="15">
        <v>41000</v>
      </c>
      <c r="Q440" s="15" t="s">
        <v>1717</v>
      </c>
      <c r="R440" s="24" t="s">
        <v>3010</v>
      </c>
    </row>
    <row r="441" spans="1:18" s="18" customFormat="1" ht="218.4" x14ac:dyDescent="0.3">
      <c r="A441" s="15" t="s">
        <v>1740</v>
      </c>
      <c r="B441" s="15" t="s">
        <v>390</v>
      </c>
      <c r="C441" s="15" t="s">
        <v>391</v>
      </c>
      <c r="D441" s="15" t="s">
        <v>1741</v>
      </c>
      <c r="E441" s="15" t="s">
        <v>1742</v>
      </c>
      <c r="F441" s="15" t="s">
        <v>1743</v>
      </c>
      <c r="G441" s="15" t="s">
        <v>1744</v>
      </c>
      <c r="H441" s="15" t="s">
        <v>318</v>
      </c>
      <c r="I441" s="15">
        <v>91</v>
      </c>
      <c r="J441" s="15">
        <v>0</v>
      </c>
      <c r="K441" s="15"/>
      <c r="L441" s="15" t="s">
        <v>1745</v>
      </c>
      <c r="M441" s="16" t="s">
        <v>2576</v>
      </c>
      <c r="N441" s="16" t="s">
        <v>2576</v>
      </c>
      <c r="O441" s="17" t="str">
        <f>IF(NOT("https://maps.app.goo.gl/7bvp2wEWFm1ad4B98" = ""), HYPERLINK("https://maps.app.goo.gl/7bvp2wEWFm1ad4B98", "موقع"), "")</f>
        <v>موقع</v>
      </c>
      <c r="P441" s="15">
        <v>2000</v>
      </c>
      <c r="Q441" s="15" t="s">
        <v>3025</v>
      </c>
      <c r="R441" s="24" t="s">
        <v>3015</v>
      </c>
    </row>
    <row r="442" spans="1:18" x14ac:dyDescent="0.3">
      <c r="A442" s="5"/>
      <c r="B442" s="5"/>
      <c r="C442" s="6"/>
      <c r="D442" s="7"/>
      <c r="E442" s="7"/>
      <c r="F442" s="7"/>
      <c r="G442" s="7"/>
      <c r="H442" s="8"/>
      <c r="I442" s="6"/>
      <c r="J442" s="7"/>
      <c r="K442" s="8"/>
      <c r="L442" s="6"/>
      <c r="M442" s="9"/>
      <c r="N442" s="10"/>
      <c r="O442" s="11"/>
      <c r="P442" s="6"/>
      <c r="Q442" s="7"/>
      <c r="R442" s="13"/>
    </row>
  </sheetData>
  <sheetProtection algorithmName="SHA-512" hashValue="JSYV9eh4i063c2oKMQWmJAd8bAqxnexw7sZCESJStvk6yNIDySqv7MSd8E1CQrcN2Aw5ycO4d/Aa+6eoz6AAhA==" saltValue="MUj8nhZF7ogdJyVyFwxLOg==" spinCount="100000" sheet="1" objects="1" scenarios="1" sort="0" autoFilter="0"/>
  <autoFilter ref="A2:Q441" xr:uid="{00000000-0001-0000-0000-000000000000}"/>
  <sortState xmlns:xlrd2="http://schemas.microsoft.com/office/spreadsheetml/2017/richdata2" ref="A3:R441">
    <sortCondition ref="D3:D441"/>
    <sortCondition ref="B3:B441"/>
    <sortCondition ref="C3:C441"/>
    <sortCondition ref="P3:P441"/>
  </sortState>
  <mergeCells count="1">
    <mergeCell ref="C1:R1"/>
  </mergeCells>
  <hyperlinks>
    <hyperlink ref="R3" r:id="rId1" xr:uid="{51C2E77C-42DA-4BF0-9749-4D96CEF5898A}"/>
  </hyperlinks>
  <printOptions horizontalCentered="1"/>
  <pageMargins left="0" right="0" top="0.25" bottom="0.25" header="0" footer="0"/>
  <pageSetup paperSize="9" scale="53"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41"/>
  <sheetViews>
    <sheetView workbookViewId="0"/>
  </sheetViews>
  <sheetFormatPr defaultRowHeight="14.4" x14ac:dyDescent="0.3"/>
  <sheetData>
    <row r="1" spans="1:27" x14ac:dyDescent="0.3">
      <c r="A1" s="14" t="s">
        <v>1747</v>
      </c>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x14ac:dyDescent="0.3">
      <c r="A2" t="s">
        <v>1748</v>
      </c>
      <c r="B2" t="s">
        <v>1749</v>
      </c>
      <c r="C2" t="s">
        <v>1750</v>
      </c>
      <c r="D2" t="s">
        <v>1751</v>
      </c>
      <c r="E2" t="s">
        <v>1752</v>
      </c>
      <c r="F2" t="s">
        <v>1753</v>
      </c>
      <c r="G2" t="s">
        <v>1754</v>
      </c>
      <c r="H2" t="s">
        <v>1755</v>
      </c>
      <c r="I2" t="s">
        <v>1756</v>
      </c>
      <c r="J2" t="s">
        <v>1757</v>
      </c>
      <c r="K2" t="s">
        <v>1758</v>
      </c>
      <c r="L2" t="s">
        <v>1759</v>
      </c>
      <c r="M2" t="s">
        <v>1760</v>
      </c>
      <c r="N2" t="s">
        <v>1761</v>
      </c>
      <c r="O2" t="s">
        <v>1762</v>
      </c>
      <c r="P2" t="s">
        <v>1763</v>
      </c>
      <c r="Q2" t="s">
        <v>1764</v>
      </c>
      <c r="R2" t="s">
        <v>1765</v>
      </c>
      <c r="S2" t="s">
        <v>1766</v>
      </c>
      <c r="T2" t="s">
        <v>1767</v>
      </c>
      <c r="U2" t="s">
        <v>1768</v>
      </c>
      <c r="V2" t="s">
        <v>1769</v>
      </c>
      <c r="W2" t="s">
        <v>1770</v>
      </c>
      <c r="X2" t="s">
        <v>1771</v>
      </c>
      <c r="Y2" t="s">
        <v>1772</v>
      </c>
      <c r="Z2" t="s">
        <v>1773</v>
      </c>
      <c r="AA2" t="s">
        <v>1774</v>
      </c>
    </row>
    <row r="3" spans="1:27" x14ac:dyDescent="0.3">
      <c r="A3" t="s">
        <v>19</v>
      </c>
      <c r="B3" s="1">
        <v>46182.512789351851</v>
      </c>
      <c r="C3" t="s">
        <v>1</v>
      </c>
      <c r="D3" t="s">
        <v>21</v>
      </c>
      <c r="E3" t="s">
        <v>26</v>
      </c>
      <c r="F3" t="s">
        <v>1775</v>
      </c>
      <c r="G3" t="s">
        <v>20</v>
      </c>
      <c r="H3" t="s">
        <v>22</v>
      </c>
      <c r="I3" t="s">
        <v>23</v>
      </c>
      <c r="J3" t="s">
        <v>24</v>
      </c>
      <c r="K3" t="s">
        <v>25</v>
      </c>
      <c r="L3">
        <v>-109</v>
      </c>
      <c r="M3">
        <v>1407</v>
      </c>
      <c r="N3">
        <v>9000</v>
      </c>
      <c r="O3">
        <v>32.555971999999997</v>
      </c>
      <c r="P3">
        <v>35.854222</v>
      </c>
      <c r="Q3" t="s">
        <v>28</v>
      </c>
      <c r="S3" t="s">
        <v>1776</v>
      </c>
      <c r="U3" t="s">
        <v>1777</v>
      </c>
      <c r="V3" t="s">
        <v>27</v>
      </c>
      <c r="W3" t="s">
        <v>29</v>
      </c>
      <c r="Y3" t="str">
        <f t="shared" ref="Y3:Y31" si="0">IF(NOT("" = ""), HYPERLINK("", "فيديو"), "")</f>
        <v/>
      </c>
      <c r="Z3" t="str">
        <f t="shared" ref="Z3:Z31" si="1">IF(NOT("" = ""), HYPERLINK("", "جولة"), "")</f>
        <v/>
      </c>
      <c r="AA3" t="str">
        <f>IF(NOT("https://maps.app.goo.gl/TiVucRGg5RVLEjAY7" = ""), HYPERLINK("https://maps.app.goo.gl/TiVucRGg5RVLEjAY7", "موقع"), "")</f>
        <v>موقع</v>
      </c>
    </row>
    <row r="4" spans="1:27" x14ac:dyDescent="0.3">
      <c r="A4" t="s">
        <v>30</v>
      </c>
      <c r="B4" s="1">
        <v>46182.512789351851</v>
      </c>
      <c r="C4" t="s">
        <v>1</v>
      </c>
      <c r="D4" t="s">
        <v>21</v>
      </c>
      <c r="E4" t="s">
        <v>26</v>
      </c>
      <c r="F4" t="s">
        <v>1778</v>
      </c>
      <c r="G4" t="s">
        <v>20</v>
      </c>
      <c r="H4" t="s">
        <v>22</v>
      </c>
      <c r="I4" t="s">
        <v>23</v>
      </c>
      <c r="J4" t="s">
        <v>24</v>
      </c>
      <c r="K4" t="s">
        <v>25</v>
      </c>
      <c r="L4">
        <v>-104</v>
      </c>
      <c r="M4">
        <v>1407</v>
      </c>
      <c r="N4">
        <v>9000</v>
      </c>
      <c r="O4">
        <v>32.555971999999997</v>
      </c>
      <c r="P4">
        <v>35.854222</v>
      </c>
      <c r="Q4" t="s">
        <v>28</v>
      </c>
      <c r="S4" t="s">
        <v>1776</v>
      </c>
      <c r="U4" t="s">
        <v>1779</v>
      </c>
      <c r="V4" t="s">
        <v>27</v>
      </c>
      <c r="W4" t="s">
        <v>29</v>
      </c>
      <c r="Y4" t="str">
        <f t="shared" si="0"/>
        <v/>
      </c>
      <c r="Z4" t="str">
        <f t="shared" si="1"/>
        <v/>
      </c>
      <c r="AA4" t="str">
        <f>IF(NOT("https://maps.app.goo.gl/utZa7pbDNC5BNjBR8" = ""), HYPERLINK("https://maps.app.goo.gl/utZa7pbDNC5BNjBR8", "موقع"), "")</f>
        <v>موقع</v>
      </c>
    </row>
    <row r="5" spans="1:27" x14ac:dyDescent="0.3">
      <c r="A5" t="s">
        <v>31</v>
      </c>
      <c r="B5" s="1">
        <v>46182.512789351851</v>
      </c>
      <c r="C5" t="s">
        <v>1</v>
      </c>
      <c r="D5" t="s">
        <v>21</v>
      </c>
      <c r="E5" t="s">
        <v>26</v>
      </c>
      <c r="F5" t="s">
        <v>1780</v>
      </c>
      <c r="G5" t="s">
        <v>20</v>
      </c>
      <c r="H5" t="s">
        <v>22</v>
      </c>
      <c r="I5" t="s">
        <v>23</v>
      </c>
      <c r="J5" t="s">
        <v>24</v>
      </c>
      <c r="K5" t="s">
        <v>25</v>
      </c>
      <c r="L5">
        <v>106</v>
      </c>
      <c r="M5">
        <v>1407</v>
      </c>
      <c r="N5">
        <v>9000</v>
      </c>
      <c r="O5">
        <v>32.555971999999997</v>
      </c>
      <c r="P5">
        <v>35.854222</v>
      </c>
      <c r="Q5" t="s">
        <v>33</v>
      </c>
      <c r="S5" t="s">
        <v>1776</v>
      </c>
      <c r="U5" t="s">
        <v>1781</v>
      </c>
      <c r="V5" t="s">
        <v>32</v>
      </c>
      <c r="W5" t="s">
        <v>34</v>
      </c>
      <c r="Y5" t="str">
        <f t="shared" si="0"/>
        <v/>
      </c>
      <c r="Z5" t="str">
        <f t="shared" si="1"/>
        <v/>
      </c>
      <c r="AA5" t="str">
        <f>IF(NOT("https://maps.app.goo.gl/6VeK1soQc9FANyGr5" = ""), HYPERLINK("https://maps.app.goo.gl/6VeK1soQc9FANyGr5", "موقع"), "")</f>
        <v>موقع</v>
      </c>
    </row>
    <row r="6" spans="1:27" x14ac:dyDescent="0.3">
      <c r="A6" t="s">
        <v>35</v>
      </c>
      <c r="B6" s="1">
        <v>46182.512789351851</v>
      </c>
      <c r="C6" t="s">
        <v>1</v>
      </c>
      <c r="D6" t="s">
        <v>21</v>
      </c>
      <c r="E6" t="s">
        <v>26</v>
      </c>
      <c r="F6" t="s">
        <v>1782</v>
      </c>
      <c r="G6" t="s">
        <v>20</v>
      </c>
      <c r="H6" t="s">
        <v>22</v>
      </c>
      <c r="I6" t="s">
        <v>23</v>
      </c>
      <c r="J6" t="s">
        <v>24</v>
      </c>
      <c r="K6" t="s">
        <v>25</v>
      </c>
      <c r="L6">
        <v>-103</v>
      </c>
      <c r="M6">
        <v>1407</v>
      </c>
      <c r="N6">
        <v>9000</v>
      </c>
      <c r="O6">
        <v>32.555971999999997</v>
      </c>
      <c r="P6">
        <v>35.854222</v>
      </c>
      <c r="Q6" t="s">
        <v>28</v>
      </c>
      <c r="S6" t="s">
        <v>1776</v>
      </c>
      <c r="U6" t="s">
        <v>1783</v>
      </c>
      <c r="V6" t="s">
        <v>27</v>
      </c>
      <c r="W6" t="s">
        <v>29</v>
      </c>
      <c r="Y6" t="str">
        <f t="shared" si="0"/>
        <v/>
      </c>
      <c r="Z6" t="str">
        <f t="shared" si="1"/>
        <v/>
      </c>
      <c r="AA6" t="str">
        <f>IF(NOT("https://maps.app.goo.gl/RYd23MtaG2mUYFnd7" = ""), HYPERLINK("https://maps.app.goo.gl/RYd23MtaG2mUYFnd7", "موقع"), "")</f>
        <v>موقع</v>
      </c>
    </row>
    <row r="7" spans="1:27" x14ac:dyDescent="0.3">
      <c r="A7" t="s">
        <v>36</v>
      </c>
      <c r="B7" s="1">
        <v>46182.512789351851</v>
      </c>
      <c r="C7" t="s">
        <v>1</v>
      </c>
      <c r="D7" t="s">
        <v>21</v>
      </c>
      <c r="E7" t="s">
        <v>26</v>
      </c>
      <c r="F7" t="s">
        <v>1784</v>
      </c>
      <c r="G7" t="s">
        <v>20</v>
      </c>
      <c r="H7" t="s">
        <v>22</v>
      </c>
      <c r="I7" t="s">
        <v>23</v>
      </c>
      <c r="J7" t="s">
        <v>24</v>
      </c>
      <c r="K7" t="s">
        <v>25</v>
      </c>
      <c r="L7">
        <v>-105</v>
      </c>
      <c r="M7">
        <v>1407</v>
      </c>
      <c r="N7">
        <v>9000</v>
      </c>
      <c r="O7">
        <v>32.555971999999997</v>
      </c>
      <c r="P7">
        <v>35.854222</v>
      </c>
      <c r="Q7" t="s">
        <v>28</v>
      </c>
      <c r="S7" t="s">
        <v>1776</v>
      </c>
      <c r="U7" t="s">
        <v>1785</v>
      </c>
      <c r="V7" t="s">
        <v>27</v>
      </c>
      <c r="W7" t="s">
        <v>29</v>
      </c>
      <c r="Y7" t="str">
        <f t="shared" si="0"/>
        <v/>
      </c>
      <c r="Z7" t="str">
        <f t="shared" si="1"/>
        <v/>
      </c>
      <c r="AA7" t="str">
        <f>IF(NOT("https://maps.app.goo.gl/8szHmw75q7cGjeJ57" = ""), HYPERLINK("https://maps.app.goo.gl/8szHmw75q7cGjeJ57", "موقع"), "")</f>
        <v>موقع</v>
      </c>
    </row>
    <row r="8" spans="1:27" x14ac:dyDescent="0.3">
      <c r="A8" t="s">
        <v>37</v>
      </c>
      <c r="B8" s="1">
        <v>46182.512789351851</v>
      </c>
      <c r="C8" t="s">
        <v>1</v>
      </c>
      <c r="D8" t="s">
        <v>21</v>
      </c>
      <c r="E8" t="s">
        <v>26</v>
      </c>
      <c r="F8" t="s">
        <v>1786</v>
      </c>
      <c r="G8" t="s">
        <v>20</v>
      </c>
      <c r="H8" t="s">
        <v>22</v>
      </c>
      <c r="I8" t="s">
        <v>23</v>
      </c>
      <c r="J8" t="s">
        <v>24</v>
      </c>
      <c r="K8" t="s">
        <v>25</v>
      </c>
      <c r="L8">
        <v>-106</v>
      </c>
      <c r="M8">
        <v>1407</v>
      </c>
      <c r="N8">
        <v>9000</v>
      </c>
      <c r="O8">
        <v>32.555971999999997</v>
      </c>
      <c r="P8">
        <v>35.854222</v>
      </c>
      <c r="Q8" t="s">
        <v>38</v>
      </c>
      <c r="S8" t="s">
        <v>1776</v>
      </c>
      <c r="U8" t="s">
        <v>1787</v>
      </c>
      <c r="V8" t="s">
        <v>27</v>
      </c>
      <c r="W8" t="s">
        <v>39</v>
      </c>
      <c r="Y8" t="str">
        <f t="shared" si="0"/>
        <v/>
      </c>
      <c r="Z8" t="str">
        <f t="shared" si="1"/>
        <v/>
      </c>
      <c r="AA8" t="str">
        <f>IF(NOT("https://maps.app.goo.gl/krbj2GhMvuWbUamp8" = ""), HYPERLINK("https://maps.app.goo.gl/krbj2GhMvuWbUamp8", "موقع"), "")</f>
        <v>موقع</v>
      </c>
    </row>
    <row r="9" spans="1:27" x14ac:dyDescent="0.3">
      <c r="A9" t="s">
        <v>40</v>
      </c>
      <c r="B9" s="1">
        <v>46182.512789351851</v>
      </c>
      <c r="C9" t="s">
        <v>1</v>
      </c>
      <c r="D9" t="s">
        <v>21</v>
      </c>
      <c r="E9" t="s">
        <v>26</v>
      </c>
      <c r="F9" t="s">
        <v>1788</v>
      </c>
      <c r="G9" t="s">
        <v>20</v>
      </c>
      <c r="H9" t="s">
        <v>22</v>
      </c>
      <c r="I9" t="s">
        <v>23</v>
      </c>
      <c r="J9" t="s">
        <v>24</v>
      </c>
      <c r="K9" t="s">
        <v>25</v>
      </c>
      <c r="L9">
        <v>107</v>
      </c>
      <c r="M9">
        <v>1407</v>
      </c>
      <c r="N9">
        <v>20000</v>
      </c>
      <c r="O9">
        <v>32.555971999999997</v>
      </c>
      <c r="P9">
        <v>35.854222</v>
      </c>
      <c r="Q9" t="s">
        <v>42</v>
      </c>
      <c r="S9" t="s">
        <v>1776</v>
      </c>
      <c r="U9" t="s">
        <v>1789</v>
      </c>
      <c r="V9" t="s">
        <v>41</v>
      </c>
      <c r="W9" t="s">
        <v>43</v>
      </c>
      <c r="Y9" t="str">
        <f t="shared" si="0"/>
        <v/>
      </c>
      <c r="Z9" t="str">
        <f t="shared" si="1"/>
        <v/>
      </c>
      <c r="AA9" t="str">
        <f>IF(NOT("https://maps.app.goo.gl/pifTYeCxr41ZPNEo6" = ""), HYPERLINK("https://maps.app.goo.gl/pifTYeCxr41ZPNEo6", "موقع"), "")</f>
        <v>موقع</v>
      </c>
    </row>
    <row r="10" spans="1:27" x14ac:dyDescent="0.3">
      <c r="A10" t="s">
        <v>44</v>
      </c>
      <c r="B10" s="1">
        <v>46182.512789351851</v>
      </c>
      <c r="C10" t="s">
        <v>1</v>
      </c>
      <c r="D10" t="s">
        <v>45</v>
      </c>
      <c r="E10" t="s">
        <v>49</v>
      </c>
      <c r="F10" t="s">
        <v>1790</v>
      </c>
      <c r="G10" t="s">
        <v>20</v>
      </c>
      <c r="H10" t="s">
        <v>22</v>
      </c>
      <c r="I10" t="s">
        <v>46</v>
      </c>
      <c r="J10" t="s">
        <v>47</v>
      </c>
      <c r="K10" t="s">
        <v>48</v>
      </c>
      <c r="L10">
        <v>131</v>
      </c>
      <c r="M10">
        <v>84</v>
      </c>
      <c r="N10">
        <v>8000</v>
      </c>
      <c r="O10">
        <v>32.497889000000001</v>
      </c>
      <c r="P10">
        <v>35.683500000000002</v>
      </c>
      <c r="Q10" t="s">
        <v>51</v>
      </c>
      <c r="S10" t="s">
        <v>1776</v>
      </c>
      <c r="U10" t="s">
        <v>1791</v>
      </c>
      <c r="V10" t="s">
        <v>50</v>
      </c>
      <c r="W10" t="s">
        <v>52</v>
      </c>
      <c r="Y10" t="str">
        <f t="shared" si="0"/>
        <v/>
      </c>
      <c r="Z10" t="str">
        <f t="shared" si="1"/>
        <v/>
      </c>
      <c r="AA10" t="str">
        <f>IF(NOT("https://maps.app.goo.gl/A3XZbfh84v35bWus8" = ""), HYPERLINK("https://maps.app.goo.gl/A3XZbfh84v35bWus8", "موقع"), "")</f>
        <v>موقع</v>
      </c>
    </row>
    <row r="11" spans="1:27" x14ac:dyDescent="0.3">
      <c r="A11" t="s">
        <v>53</v>
      </c>
      <c r="B11" s="1">
        <v>46182.512789351851</v>
      </c>
      <c r="C11" t="s">
        <v>1</v>
      </c>
      <c r="D11" t="s">
        <v>54</v>
      </c>
      <c r="E11" t="s">
        <v>57</v>
      </c>
      <c r="F11" t="s">
        <v>1792</v>
      </c>
      <c r="G11" t="s">
        <v>20</v>
      </c>
      <c r="H11" t="s">
        <v>22</v>
      </c>
      <c r="I11" t="s">
        <v>23</v>
      </c>
      <c r="J11" t="s">
        <v>55</v>
      </c>
      <c r="K11" t="s">
        <v>56</v>
      </c>
      <c r="L11">
        <v>-102</v>
      </c>
      <c r="M11">
        <v>1842</v>
      </c>
      <c r="N11">
        <v>11000</v>
      </c>
      <c r="O11">
        <v>32.569056000000003</v>
      </c>
      <c r="P11">
        <v>35.845917</v>
      </c>
      <c r="Q11" t="s">
        <v>58</v>
      </c>
      <c r="S11" t="s">
        <v>1776</v>
      </c>
      <c r="U11" t="s">
        <v>1793</v>
      </c>
      <c r="V11" t="s">
        <v>27</v>
      </c>
      <c r="W11" t="s">
        <v>59</v>
      </c>
      <c r="Y11" t="str">
        <f t="shared" si="0"/>
        <v/>
      </c>
      <c r="Z11" t="str">
        <f t="shared" si="1"/>
        <v/>
      </c>
      <c r="AA11" t="str">
        <f>IF(NOT("https://maps.app.goo.gl/9pCAjbaA9ZKNeSdX7" = ""), HYPERLINK("https://maps.app.goo.gl/9pCAjbaA9ZKNeSdX7", "موقع"), "")</f>
        <v>موقع</v>
      </c>
    </row>
    <row r="12" spans="1:27" x14ac:dyDescent="0.3">
      <c r="A12" t="s">
        <v>60</v>
      </c>
      <c r="B12" s="1">
        <v>46182.512789351851</v>
      </c>
      <c r="C12" t="s">
        <v>1</v>
      </c>
      <c r="D12" t="s">
        <v>54</v>
      </c>
      <c r="E12" t="s">
        <v>57</v>
      </c>
      <c r="F12" t="s">
        <v>1794</v>
      </c>
      <c r="G12" t="s">
        <v>20</v>
      </c>
      <c r="H12" t="s">
        <v>22</v>
      </c>
      <c r="I12" t="s">
        <v>23</v>
      </c>
      <c r="J12" t="s">
        <v>55</v>
      </c>
      <c r="K12" t="s">
        <v>61</v>
      </c>
      <c r="L12">
        <v>-101</v>
      </c>
      <c r="M12">
        <v>2390</v>
      </c>
      <c r="N12">
        <v>11000</v>
      </c>
      <c r="O12">
        <v>32.556860999999998</v>
      </c>
      <c r="P12">
        <v>35.825888999999997</v>
      </c>
      <c r="Q12" t="s">
        <v>62</v>
      </c>
      <c r="S12" t="s">
        <v>1776</v>
      </c>
      <c r="U12" t="s">
        <v>1795</v>
      </c>
      <c r="V12" t="s">
        <v>27</v>
      </c>
      <c r="W12" t="s">
        <v>63</v>
      </c>
      <c r="Y12" t="str">
        <f t="shared" si="0"/>
        <v/>
      </c>
      <c r="Z12" t="str">
        <f t="shared" si="1"/>
        <v/>
      </c>
      <c r="AA12" t="str">
        <f>IF(NOT("https://maps.app.goo.gl/kNwMxKFC2vofNDEx9" = ""), HYPERLINK("https://maps.app.goo.gl/kNwMxKFC2vofNDEx9", "موقع"), "")</f>
        <v>موقع</v>
      </c>
    </row>
    <row r="13" spans="1:27" x14ac:dyDescent="0.3">
      <c r="A13" t="s">
        <v>64</v>
      </c>
      <c r="B13" s="1">
        <v>46182.512789351851</v>
      </c>
      <c r="C13" t="s">
        <v>1</v>
      </c>
      <c r="D13" t="s">
        <v>54</v>
      </c>
      <c r="E13" t="s">
        <v>68</v>
      </c>
      <c r="F13" t="s">
        <v>1796</v>
      </c>
      <c r="G13" t="s">
        <v>20</v>
      </c>
      <c r="H13" t="s">
        <v>22</v>
      </c>
      <c r="I13" t="s">
        <v>65</v>
      </c>
      <c r="J13" t="s">
        <v>66</v>
      </c>
      <c r="K13" t="s">
        <v>67</v>
      </c>
      <c r="L13">
        <v>111</v>
      </c>
      <c r="M13">
        <v>33</v>
      </c>
      <c r="N13">
        <v>12000</v>
      </c>
      <c r="Q13" t="s">
        <v>69</v>
      </c>
      <c r="S13" t="s">
        <v>1776</v>
      </c>
      <c r="V13" t="s">
        <v>32</v>
      </c>
      <c r="W13" t="s">
        <v>70</v>
      </c>
      <c r="Y13" t="str">
        <f t="shared" si="0"/>
        <v/>
      </c>
      <c r="Z13" t="str">
        <f t="shared" si="1"/>
        <v/>
      </c>
      <c r="AA13" t="str">
        <f>IF(NOT("" = ""), HYPERLINK("", "موقع"), "")</f>
        <v/>
      </c>
    </row>
    <row r="14" spans="1:27" x14ac:dyDescent="0.3">
      <c r="A14" t="s">
        <v>71</v>
      </c>
      <c r="B14" s="1">
        <v>46182.512789351851</v>
      </c>
      <c r="C14" t="s">
        <v>1</v>
      </c>
      <c r="D14" t="s">
        <v>54</v>
      </c>
      <c r="E14" t="s">
        <v>74</v>
      </c>
      <c r="F14" t="s">
        <v>1797</v>
      </c>
      <c r="G14" t="s">
        <v>20</v>
      </c>
      <c r="H14" t="s">
        <v>22</v>
      </c>
      <c r="I14" t="s">
        <v>23</v>
      </c>
      <c r="J14" t="s">
        <v>72</v>
      </c>
      <c r="K14" t="s">
        <v>73</v>
      </c>
      <c r="L14">
        <v>122</v>
      </c>
      <c r="M14">
        <v>682</v>
      </c>
      <c r="N14">
        <v>13000</v>
      </c>
      <c r="Q14" t="s">
        <v>76</v>
      </c>
      <c r="S14" t="s">
        <v>1776</v>
      </c>
      <c r="V14" t="s">
        <v>75</v>
      </c>
      <c r="W14" t="s">
        <v>77</v>
      </c>
      <c r="Y14" t="str">
        <f t="shared" si="0"/>
        <v/>
      </c>
      <c r="Z14" t="str">
        <f t="shared" si="1"/>
        <v/>
      </c>
      <c r="AA14" t="str">
        <f>IF(NOT("" = ""), HYPERLINK("", "موقع"), "")</f>
        <v/>
      </c>
    </row>
    <row r="15" spans="1:27" x14ac:dyDescent="0.3">
      <c r="A15" t="s">
        <v>78</v>
      </c>
      <c r="B15" s="1">
        <v>46182.512789351851</v>
      </c>
      <c r="C15" t="s">
        <v>1</v>
      </c>
      <c r="D15" t="s">
        <v>54</v>
      </c>
      <c r="E15" t="s">
        <v>74</v>
      </c>
      <c r="F15" t="s">
        <v>1798</v>
      </c>
      <c r="G15" t="s">
        <v>20</v>
      </c>
      <c r="H15" t="s">
        <v>22</v>
      </c>
      <c r="I15" t="s">
        <v>23</v>
      </c>
      <c r="J15" t="s">
        <v>72</v>
      </c>
      <c r="K15" t="s">
        <v>79</v>
      </c>
      <c r="L15">
        <v>122</v>
      </c>
      <c r="M15">
        <v>136</v>
      </c>
      <c r="N15">
        <v>14000</v>
      </c>
      <c r="Q15" t="s">
        <v>80</v>
      </c>
      <c r="S15" t="s">
        <v>1776</v>
      </c>
      <c r="V15" t="s">
        <v>75</v>
      </c>
      <c r="W15" t="s">
        <v>81</v>
      </c>
      <c r="Y15" t="str">
        <f t="shared" si="0"/>
        <v/>
      </c>
      <c r="Z15" t="str">
        <f t="shared" si="1"/>
        <v/>
      </c>
      <c r="AA15" t="str">
        <f>IF(NOT("" = ""), HYPERLINK("", "موقع"), "")</f>
        <v/>
      </c>
    </row>
    <row r="16" spans="1:27" x14ac:dyDescent="0.3">
      <c r="A16" t="s">
        <v>82</v>
      </c>
      <c r="B16" s="1">
        <v>46182.512789351851</v>
      </c>
      <c r="C16" t="s">
        <v>1</v>
      </c>
      <c r="D16" t="s">
        <v>54</v>
      </c>
      <c r="E16" t="s">
        <v>86</v>
      </c>
      <c r="F16" t="s">
        <v>1799</v>
      </c>
      <c r="G16" t="s">
        <v>20</v>
      </c>
      <c r="H16" t="s">
        <v>22</v>
      </c>
      <c r="I16" t="s">
        <v>83</v>
      </c>
      <c r="J16" t="s">
        <v>84</v>
      </c>
      <c r="K16" t="s">
        <v>85</v>
      </c>
      <c r="L16">
        <v>-102</v>
      </c>
      <c r="M16">
        <v>782</v>
      </c>
      <c r="N16">
        <v>14000</v>
      </c>
      <c r="O16">
        <v>32.442861000000001</v>
      </c>
      <c r="P16">
        <v>35.595610999999998</v>
      </c>
      <c r="Q16" t="s">
        <v>87</v>
      </c>
      <c r="S16" t="s">
        <v>1776</v>
      </c>
      <c r="U16" t="s">
        <v>1800</v>
      </c>
      <c r="V16" t="s">
        <v>27</v>
      </c>
      <c r="W16" t="s">
        <v>88</v>
      </c>
      <c r="Y16" t="str">
        <f t="shared" si="0"/>
        <v/>
      </c>
      <c r="Z16" t="str">
        <f t="shared" si="1"/>
        <v/>
      </c>
      <c r="AA16" t="str">
        <f>IF(NOT("https://maps.app.goo.gl/4ZeUixs6SEXRqnyr8" = ""), HYPERLINK("https://maps.app.goo.gl/4ZeUixs6SEXRqnyr8", "موقع"), "")</f>
        <v>موقع</v>
      </c>
    </row>
    <row r="17" spans="1:27" x14ac:dyDescent="0.3">
      <c r="A17" t="s">
        <v>89</v>
      </c>
      <c r="B17" s="1">
        <v>46182.512789351851</v>
      </c>
      <c r="C17" t="s">
        <v>1</v>
      </c>
      <c r="D17" t="s">
        <v>54</v>
      </c>
      <c r="E17" t="s">
        <v>92</v>
      </c>
      <c r="F17" t="s">
        <v>1801</v>
      </c>
      <c r="G17" t="s">
        <v>20</v>
      </c>
      <c r="H17" t="s">
        <v>22</v>
      </c>
      <c r="I17" t="s">
        <v>23</v>
      </c>
      <c r="J17" t="s">
        <v>90</v>
      </c>
      <c r="K17" t="s">
        <v>91</v>
      </c>
      <c r="L17">
        <v>101</v>
      </c>
      <c r="M17">
        <v>194</v>
      </c>
      <c r="N17">
        <v>16000</v>
      </c>
      <c r="O17">
        <v>32.569389000000001</v>
      </c>
      <c r="P17">
        <v>35.805278000000001</v>
      </c>
      <c r="Q17" t="s">
        <v>93</v>
      </c>
      <c r="S17" t="s">
        <v>1776</v>
      </c>
      <c r="U17" t="s">
        <v>1802</v>
      </c>
      <c r="V17" t="s">
        <v>32</v>
      </c>
      <c r="W17" t="s">
        <v>94</v>
      </c>
      <c r="Y17" t="str">
        <f t="shared" si="0"/>
        <v/>
      </c>
      <c r="Z17" t="str">
        <f t="shared" si="1"/>
        <v/>
      </c>
      <c r="AA17" t="str">
        <f>IF(NOT("https://maps.app.goo.gl/sUZZ3HjBRZcis2or5" = ""), HYPERLINK("https://maps.app.goo.gl/sUZZ3HjBRZcis2or5", "موقع"), "")</f>
        <v>موقع</v>
      </c>
    </row>
    <row r="18" spans="1:27" x14ac:dyDescent="0.3">
      <c r="A18" t="s">
        <v>95</v>
      </c>
      <c r="B18" s="1">
        <v>46182.512789351851</v>
      </c>
      <c r="C18" t="s">
        <v>1</v>
      </c>
      <c r="D18" t="s">
        <v>54</v>
      </c>
      <c r="E18" t="s">
        <v>98</v>
      </c>
      <c r="F18" t="s">
        <v>1803</v>
      </c>
      <c r="G18" t="s">
        <v>20</v>
      </c>
      <c r="H18" t="s">
        <v>22</v>
      </c>
      <c r="I18" t="s">
        <v>65</v>
      </c>
      <c r="J18" t="s">
        <v>96</v>
      </c>
      <c r="K18" t="s">
        <v>97</v>
      </c>
      <c r="L18">
        <v>111</v>
      </c>
      <c r="M18">
        <v>706</v>
      </c>
      <c r="N18">
        <v>16000</v>
      </c>
      <c r="O18">
        <v>32.579805999999998</v>
      </c>
      <c r="P18">
        <v>35.651888999999997</v>
      </c>
      <c r="Q18" t="s">
        <v>99</v>
      </c>
      <c r="S18" t="s">
        <v>1776</v>
      </c>
      <c r="U18" t="s">
        <v>1804</v>
      </c>
      <c r="V18" t="s">
        <v>32</v>
      </c>
      <c r="W18" t="s">
        <v>100</v>
      </c>
      <c r="Y18" t="str">
        <f t="shared" si="0"/>
        <v/>
      </c>
      <c r="Z18" t="str">
        <f t="shared" si="1"/>
        <v/>
      </c>
      <c r="AA18" t="str">
        <f>IF(NOT("https://maps.app.goo.gl/mCqyP1zsBZKWR2FD9" = ""), HYPERLINK("https://maps.app.goo.gl/mCqyP1zsBZKWR2FD9", "موقع"), "")</f>
        <v>موقع</v>
      </c>
    </row>
    <row r="19" spans="1:27" x14ac:dyDescent="0.3">
      <c r="A19" t="s">
        <v>101</v>
      </c>
      <c r="B19" s="1">
        <v>46182.512789351851</v>
      </c>
      <c r="C19" t="s">
        <v>1</v>
      </c>
      <c r="D19" t="s">
        <v>54</v>
      </c>
      <c r="E19" t="s">
        <v>74</v>
      </c>
      <c r="F19" t="s">
        <v>1805</v>
      </c>
      <c r="G19" t="s">
        <v>20</v>
      </c>
      <c r="H19" t="s">
        <v>22</v>
      </c>
      <c r="I19" t="s">
        <v>23</v>
      </c>
      <c r="J19" t="s">
        <v>72</v>
      </c>
      <c r="K19" t="s">
        <v>79</v>
      </c>
      <c r="L19">
        <v>111</v>
      </c>
      <c r="M19">
        <v>136</v>
      </c>
      <c r="N19">
        <v>17000</v>
      </c>
      <c r="Q19" t="s">
        <v>102</v>
      </c>
      <c r="S19" t="s">
        <v>1776</v>
      </c>
      <c r="V19" t="s">
        <v>32</v>
      </c>
      <c r="W19" t="s">
        <v>103</v>
      </c>
      <c r="Y19" t="str">
        <f t="shared" si="0"/>
        <v/>
      </c>
      <c r="Z19" t="str">
        <f t="shared" si="1"/>
        <v/>
      </c>
      <c r="AA19" t="str">
        <f>IF(NOT("" = ""), HYPERLINK("", "موقع"), "")</f>
        <v/>
      </c>
    </row>
    <row r="20" spans="1:27" x14ac:dyDescent="0.3">
      <c r="A20" t="s">
        <v>104</v>
      </c>
      <c r="B20" s="1">
        <v>46182.512789351851</v>
      </c>
      <c r="C20" t="s">
        <v>1</v>
      </c>
      <c r="D20" t="s">
        <v>54</v>
      </c>
      <c r="E20" t="s">
        <v>107</v>
      </c>
      <c r="F20" t="s">
        <v>1806</v>
      </c>
      <c r="G20" t="s">
        <v>20</v>
      </c>
      <c r="H20" t="s">
        <v>22</v>
      </c>
      <c r="I20" t="s">
        <v>23</v>
      </c>
      <c r="J20" t="s">
        <v>105</v>
      </c>
      <c r="K20" t="s">
        <v>106</v>
      </c>
      <c r="L20">
        <v>121</v>
      </c>
      <c r="M20">
        <v>1061</v>
      </c>
      <c r="N20">
        <v>17000</v>
      </c>
      <c r="O20">
        <v>32.514972</v>
      </c>
      <c r="P20">
        <v>35.856250000000003</v>
      </c>
      <c r="Q20" t="s">
        <v>108</v>
      </c>
      <c r="S20" t="s">
        <v>1776</v>
      </c>
      <c r="U20" t="s">
        <v>1807</v>
      </c>
      <c r="V20" t="s">
        <v>75</v>
      </c>
      <c r="W20" t="s">
        <v>109</v>
      </c>
      <c r="Y20" t="str">
        <f t="shared" si="0"/>
        <v/>
      </c>
      <c r="Z20" t="str">
        <f t="shared" si="1"/>
        <v/>
      </c>
      <c r="AA20" t="str">
        <f>IF(NOT("https://maps.app.goo.gl/fZNY8kEBaL8shcWo6" = ""), HYPERLINK("https://maps.app.goo.gl/fZNY8kEBaL8shcWo6", "موقع"), "")</f>
        <v>موقع</v>
      </c>
    </row>
    <row r="21" spans="1:27" x14ac:dyDescent="0.3">
      <c r="A21" t="s">
        <v>110</v>
      </c>
      <c r="B21" s="1">
        <v>46182.512789351851</v>
      </c>
      <c r="C21" t="s">
        <v>1</v>
      </c>
      <c r="D21" t="s">
        <v>54</v>
      </c>
      <c r="E21" t="s">
        <v>114</v>
      </c>
      <c r="F21" t="s">
        <v>1808</v>
      </c>
      <c r="G21" t="s">
        <v>20</v>
      </c>
      <c r="H21" t="s">
        <v>22</v>
      </c>
      <c r="I21" t="s">
        <v>111</v>
      </c>
      <c r="J21" t="s">
        <v>112</v>
      </c>
      <c r="K21" t="s">
        <v>113</v>
      </c>
      <c r="L21">
        <v>111</v>
      </c>
      <c r="M21">
        <v>39</v>
      </c>
      <c r="N21">
        <v>17000</v>
      </c>
      <c r="O21">
        <v>32.683360999999998</v>
      </c>
      <c r="P21">
        <v>35.800027999999998</v>
      </c>
      <c r="Q21" t="s">
        <v>115</v>
      </c>
      <c r="S21" t="s">
        <v>1776</v>
      </c>
      <c r="U21" t="s">
        <v>1809</v>
      </c>
      <c r="V21" t="s">
        <v>32</v>
      </c>
      <c r="W21" t="s">
        <v>116</v>
      </c>
      <c r="Y21" t="str">
        <f t="shared" si="0"/>
        <v/>
      </c>
      <c r="Z21" t="str">
        <f t="shared" si="1"/>
        <v/>
      </c>
      <c r="AA21" t="str">
        <f>IF(NOT("https://maps.app.goo.gl/Ynh1ckaYSg13YR5B6" = ""), HYPERLINK("https://maps.app.goo.gl/Ynh1ckaYSg13YR5B6", "موقع"), "")</f>
        <v>موقع</v>
      </c>
    </row>
    <row r="22" spans="1:27" x14ac:dyDescent="0.3">
      <c r="A22" t="s">
        <v>117</v>
      </c>
      <c r="B22" s="1">
        <v>46182.512789351851</v>
      </c>
      <c r="C22" t="s">
        <v>1</v>
      </c>
      <c r="D22" t="s">
        <v>54</v>
      </c>
      <c r="E22" t="s">
        <v>120</v>
      </c>
      <c r="F22" t="s">
        <v>1810</v>
      </c>
      <c r="G22" t="s">
        <v>20</v>
      </c>
      <c r="H22" t="s">
        <v>22</v>
      </c>
      <c r="I22" t="s">
        <v>23</v>
      </c>
      <c r="J22" t="s">
        <v>118</v>
      </c>
      <c r="K22" t="s">
        <v>119</v>
      </c>
      <c r="L22">
        <v>103</v>
      </c>
      <c r="M22">
        <v>708</v>
      </c>
      <c r="N22">
        <v>17000</v>
      </c>
      <c r="O22">
        <v>32.570889000000001</v>
      </c>
      <c r="P22">
        <v>35.732778000000003</v>
      </c>
      <c r="Q22" t="s">
        <v>121</v>
      </c>
      <c r="S22" t="s">
        <v>1776</v>
      </c>
      <c r="U22" t="s">
        <v>1811</v>
      </c>
      <c r="V22" t="s">
        <v>41</v>
      </c>
      <c r="W22" t="s">
        <v>122</v>
      </c>
      <c r="Y22" t="str">
        <f t="shared" si="0"/>
        <v/>
      </c>
      <c r="Z22" t="str">
        <f t="shared" si="1"/>
        <v/>
      </c>
      <c r="AA22" t="str">
        <f>IF(NOT("https://maps.app.goo.gl/5WPQMJjorRyZDxdY6" = ""), HYPERLINK("https://maps.app.goo.gl/5WPQMJjorRyZDxdY6", "موقع"), "")</f>
        <v>موقع</v>
      </c>
    </row>
    <row r="23" spans="1:27" x14ac:dyDescent="0.3">
      <c r="A23" t="s">
        <v>123</v>
      </c>
      <c r="B23" s="1">
        <v>46182.512789351851</v>
      </c>
      <c r="C23" t="s">
        <v>1</v>
      </c>
      <c r="D23" t="s">
        <v>54</v>
      </c>
      <c r="E23" t="s">
        <v>125</v>
      </c>
      <c r="F23" t="s">
        <v>1812</v>
      </c>
      <c r="G23" t="s">
        <v>20</v>
      </c>
      <c r="H23" t="s">
        <v>22</v>
      </c>
      <c r="I23" t="s">
        <v>23</v>
      </c>
      <c r="J23" t="s">
        <v>24</v>
      </c>
      <c r="K23" t="s">
        <v>124</v>
      </c>
      <c r="L23">
        <v>111</v>
      </c>
      <c r="M23">
        <v>131</v>
      </c>
      <c r="N23">
        <v>19000</v>
      </c>
      <c r="Q23" t="s">
        <v>126</v>
      </c>
      <c r="S23" t="s">
        <v>1776</v>
      </c>
      <c r="V23" t="s">
        <v>32</v>
      </c>
      <c r="W23" t="s">
        <v>127</v>
      </c>
      <c r="Y23" t="str">
        <f t="shared" si="0"/>
        <v/>
      </c>
      <c r="Z23" t="str">
        <f t="shared" si="1"/>
        <v/>
      </c>
      <c r="AA23" t="str">
        <f>IF(NOT("" = ""), HYPERLINK("", "موقع"), "")</f>
        <v/>
      </c>
    </row>
    <row r="24" spans="1:27" x14ac:dyDescent="0.3">
      <c r="A24" t="s">
        <v>128</v>
      </c>
      <c r="B24" s="1">
        <v>46182.512789351851</v>
      </c>
      <c r="C24" t="s">
        <v>1</v>
      </c>
      <c r="D24" t="s">
        <v>54</v>
      </c>
      <c r="E24" t="s">
        <v>74</v>
      </c>
      <c r="F24" t="s">
        <v>1813</v>
      </c>
      <c r="G24" t="s">
        <v>20</v>
      </c>
      <c r="H24" t="s">
        <v>22</v>
      </c>
      <c r="I24" t="s">
        <v>23</v>
      </c>
      <c r="J24" t="s">
        <v>72</v>
      </c>
      <c r="K24" t="s">
        <v>79</v>
      </c>
      <c r="L24">
        <v>111</v>
      </c>
      <c r="M24">
        <v>142</v>
      </c>
      <c r="N24">
        <v>19000</v>
      </c>
      <c r="O24">
        <v>32.597360999999999</v>
      </c>
      <c r="P24">
        <v>35.85425</v>
      </c>
      <c r="Q24" t="s">
        <v>129</v>
      </c>
      <c r="S24" t="s">
        <v>1776</v>
      </c>
      <c r="U24" t="s">
        <v>1814</v>
      </c>
      <c r="V24" t="s">
        <v>32</v>
      </c>
      <c r="W24" t="s">
        <v>130</v>
      </c>
      <c r="Y24" t="str">
        <f t="shared" si="0"/>
        <v/>
      </c>
      <c r="Z24" t="str">
        <f t="shared" si="1"/>
        <v/>
      </c>
      <c r="AA24" t="str">
        <f>IF(NOT("https://maps.app.goo.gl/nxs148FYHskVkgr49" = ""), HYPERLINK("https://maps.app.goo.gl/nxs148FYHskVkgr49", "موقع"), "")</f>
        <v>موقع</v>
      </c>
    </row>
    <row r="25" spans="1:27" x14ac:dyDescent="0.3">
      <c r="A25" t="s">
        <v>131</v>
      </c>
      <c r="B25" s="1">
        <v>46182.512789351851</v>
      </c>
      <c r="C25" t="s">
        <v>1</v>
      </c>
      <c r="D25" t="s">
        <v>54</v>
      </c>
      <c r="E25" t="s">
        <v>133</v>
      </c>
      <c r="F25" t="s">
        <v>1815</v>
      </c>
      <c r="G25" t="s">
        <v>20</v>
      </c>
      <c r="H25" t="s">
        <v>22</v>
      </c>
      <c r="I25" t="s">
        <v>23</v>
      </c>
      <c r="J25" t="s">
        <v>24</v>
      </c>
      <c r="K25" t="s">
        <v>132</v>
      </c>
      <c r="L25">
        <v>131</v>
      </c>
      <c r="M25">
        <v>978</v>
      </c>
      <c r="N25">
        <v>19000</v>
      </c>
      <c r="Q25" t="s">
        <v>134</v>
      </c>
      <c r="S25" t="s">
        <v>1776</v>
      </c>
      <c r="V25" t="s">
        <v>50</v>
      </c>
      <c r="W25" t="s">
        <v>135</v>
      </c>
      <c r="Y25" t="str">
        <f t="shared" si="0"/>
        <v/>
      </c>
      <c r="Z25" t="str">
        <f t="shared" si="1"/>
        <v/>
      </c>
      <c r="AA25" t="str">
        <f>IF(NOT("" = ""), HYPERLINK("", "موقع"), "")</f>
        <v/>
      </c>
    </row>
    <row r="26" spans="1:27" x14ac:dyDescent="0.3">
      <c r="A26" t="s">
        <v>136</v>
      </c>
      <c r="B26" s="1">
        <v>46182.512789351851</v>
      </c>
      <c r="C26" t="s">
        <v>1</v>
      </c>
      <c r="D26" t="s">
        <v>54</v>
      </c>
      <c r="E26" t="s">
        <v>139</v>
      </c>
      <c r="F26" t="s">
        <v>1816</v>
      </c>
      <c r="G26" t="s">
        <v>20</v>
      </c>
      <c r="H26" t="s">
        <v>22</v>
      </c>
      <c r="I26" t="s">
        <v>23</v>
      </c>
      <c r="J26" t="s">
        <v>137</v>
      </c>
      <c r="K26" t="s">
        <v>138</v>
      </c>
      <c r="L26">
        <v>101</v>
      </c>
      <c r="M26">
        <v>489</v>
      </c>
      <c r="N26">
        <v>20000</v>
      </c>
      <c r="Q26" t="s">
        <v>102</v>
      </c>
      <c r="S26" t="s">
        <v>1776</v>
      </c>
      <c r="V26" t="s">
        <v>41</v>
      </c>
      <c r="W26" t="s">
        <v>140</v>
      </c>
      <c r="Y26" t="str">
        <f t="shared" si="0"/>
        <v/>
      </c>
      <c r="Z26" t="str">
        <f t="shared" si="1"/>
        <v/>
      </c>
      <c r="AA26" t="str">
        <f>IF(NOT("" = ""), HYPERLINK("", "موقع"), "")</f>
        <v/>
      </c>
    </row>
    <row r="27" spans="1:27" x14ac:dyDescent="0.3">
      <c r="A27" t="s">
        <v>141</v>
      </c>
      <c r="B27" s="1">
        <v>46182.512789351851</v>
      </c>
      <c r="C27" t="s">
        <v>1</v>
      </c>
      <c r="D27" t="s">
        <v>54</v>
      </c>
      <c r="E27" t="s">
        <v>74</v>
      </c>
      <c r="F27" t="s">
        <v>1817</v>
      </c>
      <c r="G27" t="s">
        <v>20</v>
      </c>
      <c r="H27" t="s">
        <v>22</v>
      </c>
      <c r="I27" t="s">
        <v>23</v>
      </c>
      <c r="J27" t="s">
        <v>72</v>
      </c>
      <c r="K27" t="s">
        <v>79</v>
      </c>
      <c r="L27">
        <v>121</v>
      </c>
      <c r="M27">
        <v>136</v>
      </c>
      <c r="N27">
        <v>21000</v>
      </c>
      <c r="O27">
        <v>32.597278000000003</v>
      </c>
      <c r="P27">
        <v>35.854694000000002</v>
      </c>
      <c r="Q27" t="s">
        <v>102</v>
      </c>
      <c r="S27" t="s">
        <v>1776</v>
      </c>
      <c r="U27" t="s">
        <v>1818</v>
      </c>
      <c r="V27" t="s">
        <v>75</v>
      </c>
      <c r="W27" t="s">
        <v>142</v>
      </c>
      <c r="Y27" t="str">
        <f t="shared" si="0"/>
        <v/>
      </c>
      <c r="Z27" t="str">
        <f t="shared" si="1"/>
        <v/>
      </c>
      <c r="AA27" t="str">
        <f>IF(NOT("https://maps.app.goo.gl/ivM51wLEkSgrXEZZ8" = ""), HYPERLINK("https://maps.app.goo.gl/ivM51wLEkSgrXEZZ8", "موقع"), "")</f>
        <v>موقع</v>
      </c>
    </row>
    <row r="28" spans="1:27" x14ac:dyDescent="0.3">
      <c r="A28" t="s">
        <v>143</v>
      </c>
      <c r="B28" s="1">
        <v>46182.512789351851</v>
      </c>
      <c r="C28" t="s">
        <v>1</v>
      </c>
      <c r="D28" t="s">
        <v>54</v>
      </c>
      <c r="E28" t="s">
        <v>57</v>
      </c>
      <c r="F28" t="s">
        <v>1819</v>
      </c>
      <c r="G28" t="s">
        <v>20</v>
      </c>
      <c r="H28" t="s">
        <v>22</v>
      </c>
      <c r="I28" t="s">
        <v>23</v>
      </c>
      <c r="J28" t="s">
        <v>55</v>
      </c>
      <c r="K28" t="s">
        <v>144</v>
      </c>
      <c r="L28">
        <v>121</v>
      </c>
      <c r="M28">
        <v>251</v>
      </c>
      <c r="N28">
        <v>21000</v>
      </c>
      <c r="O28">
        <v>32.579805999999998</v>
      </c>
      <c r="P28">
        <v>35.860028</v>
      </c>
      <c r="Q28" t="s">
        <v>145</v>
      </c>
      <c r="S28" t="s">
        <v>1776</v>
      </c>
      <c r="U28" t="s">
        <v>1820</v>
      </c>
      <c r="V28" t="s">
        <v>75</v>
      </c>
      <c r="W28" t="s">
        <v>146</v>
      </c>
      <c r="Y28" t="str">
        <f t="shared" si="0"/>
        <v/>
      </c>
      <c r="Z28" t="str">
        <f t="shared" si="1"/>
        <v/>
      </c>
      <c r="AA28" t="str">
        <f>IF(NOT("https://maps.app.goo.gl/8CfoQbUqLcogbtar5" = ""), HYPERLINK("https://maps.app.goo.gl/8CfoQbUqLcogbtar5", "موقع"), "")</f>
        <v>موقع</v>
      </c>
    </row>
    <row r="29" spans="1:27" x14ac:dyDescent="0.3">
      <c r="A29" t="s">
        <v>147</v>
      </c>
      <c r="B29" s="1">
        <v>46182.512789351851</v>
      </c>
      <c r="C29" t="s">
        <v>1</v>
      </c>
      <c r="D29" t="s">
        <v>54</v>
      </c>
      <c r="E29" t="s">
        <v>149</v>
      </c>
      <c r="F29" t="s">
        <v>1821</v>
      </c>
      <c r="G29" t="s">
        <v>20</v>
      </c>
      <c r="H29" t="s">
        <v>22</v>
      </c>
      <c r="I29" t="s">
        <v>23</v>
      </c>
      <c r="J29" t="s">
        <v>24</v>
      </c>
      <c r="K29" t="s">
        <v>148</v>
      </c>
      <c r="L29">
        <v>131</v>
      </c>
      <c r="M29">
        <v>973</v>
      </c>
      <c r="N29">
        <v>23000</v>
      </c>
      <c r="O29">
        <v>32.535583000000003</v>
      </c>
      <c r="P29">
        <v>35.848332999999997</v>
      </c>
      <c r="Q29" t="s">
        <v>150</v>
      </c>
      <c r="S29" t="s">
        <v>1776</v>
      </c>
      <c r="U29" t="s">
        <v>1822</v>
      </c>
      <c r="V29" t="s">
        <v>50</v>
      </c>
      <c r="W29" t="s">
        <v>151</v>
      </c>
      <c r="Y29" t="str">
        <f t="shared" si="0"/>
        <v/>
      </c>
      <c r="Z29" t="str">
        <f t="shared" si="1"/>
        <v/>
      </c>
      <c r="AA29" t="str">
        <f>IF(NOT("https://maps.app.goo.gl/XxBa8rnSbA42apRNA" = ""), HYPERLINK("https://maps.app.goo.gl/XxBa8rnSbA42apRNA", "موقع"), "")</f>
        <v>موقع</v>
      </c>
    </row>
    <row r="30" spans="1:27" x14ac:dyDescent="0.3">
      <c r="A30" t="s">
        <v>152</v>
      </c>
      <c r="B30" s="1">
        <v>46182.512789351851</v>
      </c>
      <c r="C30" t="s">
        <v>1</v>
      </c>
      <c r="D30" t="s">
        <v>54</v>
      </c>
      <c r="E30" t="s">
        <v>149</v>
      </c>
      <c r="F30" t="s">
        <v>1823</v>
      </c>
      <c r="G30" t="s">
        <v>20</v>
      </c>
      <c r="H30" t="s">
        <v>22</v>
      </c>
      <c r="I30" t="s">
        <v>23</v>
      </c>
      <c r="J30" t="s">
        <v>153</v>
      </c>
      <c r="K30" t="s">
        <v>154</v>
      </c>
      <c r="L30">
        <v>-112</v>
      </c>
      <c r="M30">
        <v>757</v>
      </c>
      <c r="N30">
        <v>27000</v>
      </c>
      <c r="Q30" t="s">
        <v>155</v>
      </c>
      <c r="S30" t="s">
        <v>1776</v>
      </c>
      <c r="V30" t="s">
        <v>27</v>
      </c>
      <c r="W30" t="s">
        <v>156</v>
      </c>
      <c r="Y30" t="str">
        <f t="shared" si="0"/>
        <v/>
      </c>
      <c r="Z30" t="str">
        <f t="shared" si="1"/>
        <v/>
      </c>
      <c r="AA30" t="str">
        <f>IF(NOT("" = ""), HYPERLINK("", "موقع"), "")</f>
        <v/>
      </c>
    </row>
    <row r="31" spans="1:27" x14ac:dyDescent="0.3">
      <c r="A31" t="s">
        <v>157</v>
      </c>
      <c r="B31" s="1">
        <v>46182.512789351851</v>
      </c>
      <c r="C31" t="s">
        <v>1</v>
      </c>
      <c r="D31" t="s">
        <v>54</v>
      </c>
      <c r="E31" t="s">
        <v>159</v>
      </c>
      <c r="F31" t="s">
        <v>1824</v>
      </c>
      <c r="G31" t="s">
        <v>20</v>
      </c>
      <c r="H31" t="s">
        <v>22</v>
      </c>
      <c r="I31" t="s">
        <v>23</v>
      </c>
      <c r="J31" t="s">
        <v>24</v>
      </c>
      <c r="K31" t="s">
        <v>158</v>
      </c>
      <c r="L31">
        <v>132</v>
      </c>
      <c r="M31">
        <v>1158</v>
      </c>
      <c r="N31">
        <v>29000</v>
      </c>
      <c r="O31">
        <v>32.549056</v>
      </c>
      <c r="P31">
        <v>35.857416999999998</v>
      </c>
      <c r="Q31" t="s">
        <v>160</v>
      </c>
      <c r="S31" t="s">
        <v>1776</v>
      </c>
      <c r="U31" t="s">
        <v>1825</v>
      </c>
      <c r="V31" t="s">
        <v>50</v>
      </c>
      <c r="W31" t="s">
        <v>161</v>
      </c>
      <c r="Y31" t="str">
        <f t="shared" si="0"/>
        <v/>
      </c>
      <c r="Z31" t="str">
        <f t="shared" si="1"/>
        <v/>
      </c>
      <c r="AA31" t="str">
        <f>IF(NOT("https://maps.app.goo.gl/L5sfg8uGv3JRWrX9A" = ""), HYPERLINK("https://maps.app.goo.gl/L5sfg8uGv3JRWrX9A", "موقع"), "")</f>
        <v>موقع</v>
      </c>
    </row>
    <row r="32" spans="1:27" x14ac:dyDescent="0.3">
      <c r="A32" t="s">
        <v>162</v>
      </c>
      <c r="B32" s="1">
        <v>46182.512789351851</v>
      </c>
      <c r="C32" t="s">
        <v>1</v>
      </c>
      <c r="D32" t="s">
        <v>54</v>
      </c>
      <c r="E32" t="s">
        <v>163</v>
      </c>
      <c r="F32" t="s">
        <v>1826</v>
      </c>
      <c r="G32" t="s">
        <v>20</v>
      </c>
      <c r="H32" t="s">
        <v>22</v>
      </c>
      <c r="I32" t="s">
        <v>23</v>
      </c>
      <c r="J32" t="s">
        <v>153</v>
      </c>
      <c r="K32" t="s">
        <v>154</v>
      </c>
      <c r="L32">
        <v>132</v>
      </c>
      <c r="M32">
        <v>757</v>
      </c>
      <c r="N32">
        <v>30000</v>
      </c>
      <c r="O32">
        <v>32.523249999999997</v>
      </c>
      <c r="P32">
        <v>35.836139000000003</v>
      </c>
      <c r="Q32" t="s">
        <v>155</v>
      </c>
      <c r="R32" t="s">
        <v>1827</v>
      </c>
      <c r="S32" t="s">
        <v>1828</v>
      </c>
      <c r="U32" t="s">
        <v>1829</v>
      </c>
      <c r="V32" t="s">
        <v>50</v>
      </c>
      <c r="W32" t="s">
        <v>164</v>
      </c>
      <c r="X32" t="s">
        <v>1830</v>
      </c>
      <c r="Y32" t="str">
        <f>IF(NOT("https://youtu.be/opZG8EsqJq4" = ""), HYPERLINK("https://youtu.be/opZG8EsqJq4", "فيديو"), "")</f>
        <v>فيديو</v>
      </c>
      <c r="Z32" t="str">
        <f>IF(NOT("https://truemarkets3d.net/3d-virtual-tour/housingbank-realestate/phase3/aq-re-100669/index.html" = ""), HYPERLINK("https://truemarkets3d.net/3d-virtual-tour/housingbank-realestate/phase3/aq-re-100669/index.html", "جولة"), "")</f>
        <v>جولة</v>
      </c>
      <c r="AA32" t="str">
        <f>IF(NOT("https://maps.app.goo.gl/VpigZNcwwamvb6Sx5" = ""), HYPERLINK("https://maps.app.goo.gl/VpigZNcwwamvb6Sx5", "موقع"), "")</f>
        <v>موقع</v>
      </c>
    </row>
    <row r="33" spans="1:27" x14ac:dyDescent="0.3">
      <c r="A33" t="s">
        <v>165</v>
      </c>
      <c r="B33" s="1">
        <v>46182.512789351851</v>
      </c>
      <c r="C33" t="s">
        <v>1</v>
      </c>
      <c r="D33" t="s">
        <v>54</v>
      </c>
      <c r="E33" t="s">
        <v>26</v>
      </c>
      <c r="F33" t="s">
        <v>1831</v>
      </c>
      <c r="G33" t="s">
        <v>20</v>
      </c>
      <c r="H33" t="s">
        <v>22</v>
      </c>
      <c r="I33" t="s">
        <v>23</v>
      </c>
      <c r="J33" t="s">
        <v>24</v>
      </c>
      <c r="K33" t="s">
        <v>25</v>
      </c>
      <c r="L33">
        <v>232</v>
      </c>
      <c r="M33">
        <v>1492</v>
      </c>
      <c r="N33">
        <v>33000</v>
      </c>
      <c r="O33">
        <v>32.552889</v>
      </c>
      <c r="P33">
        <v>35.860056</v>
      </c>
      <c r="Q33" t="s">
        <v>166</v>
      </c>
      <c r="S33" t="s">
        <v>1776</v>
      </c>
      <c r="U33" t="s">
        <v>1832</v>
      </c>
      <c r="V33" t="s">
        <v>50</v>
      </c>
      <c r="W33" t="s">
        <v>167</v>
      </c>
      <c r="Y33" t="str">
        <f t="shared" ref="Y33:Y52" si="2">IF(NOT("" = ""), HYPERLINK("", "فيديو"), "")</f>
        <v/>
      </c>
      <c r="Z33" t="str">
        <f>IF(NOT("" = ""), HYPERLINK("", "جولة"), "")</f>
        <v/>
      </c>
      <c r="AA33" t="str">
        <f>IF(NOT("https://maps.app.goo.gl/SB8wU69enw42vbf58" = ""), HYPERLINK("https://maps.app.goo.gl/SB8wU69enw42vbf58", "موقع"), "")</f>
        <v>موقع</v>
      </c>
    </row>
    <row r="34" spans="1:27" x14ac:dyDescent="0.3">
      <c r="A34" t="s">
        <v>168</v>
      </c>
      <c r="B34" s="1">
        <v>46182.512789351851</v>
      </c>
      <c r="C34" t="s">
        <v>1</v>
      </c>
      <c r="D34" t="s">
        <v>54</v>
      </c>
      <c r="E34" t="s">
        <v>170</v>
      </c>
      <c r="F34" t="s">
        <v>1833</v>
      </c>
      <c r="G34" t="s">
        <v>20</v>
      </c>
      <c r="H34" t="s">
        <v>22</v>
      </c>
      <c r="I34" t="s">
        <v>23</v>
      </c>
      <c r="J34" t="s">
        <v>24</v>
      </c>
      <c r="K34" t="s">
        <v>169</v>
      </c>
      <c r="L34">
        <v>201</v>
      </c>
      <c r="M34">
        <v>1843</v>
      </c>
      <c r="N34">
        <v>33000</v>
      </c>
      <c r="Q34" t="s">
        <v>102</v>
      </c>
      <c r="S34" t="s">
        <v>1776</v>
      </c>
      <c r="V34" t="s">
        <v>41</v>
      </c>
      <c r="W34" t="s">
        <v>171</v>
      </c>
      <c r="Y34" t="str">
        <f t="shared" si="2"/>
        <v/>
      </c>
      <c r="Z34" t="str">
        <f>IF(NOT("" = ""), HYPERLINK("", "جولة"), "")</f>
        <v/>
      </c>
      <c r="AA34" t="str">
        <f>IF(NOT("" = ""), HYPERLINK("", "موقع"), "")</f>
        <v/>
      </c>
    </row>
    <row r="35" spans="1:27" x14ac:dyDescent="0.3">
      <c r="A35" t="s">
        <v>172</v>
      </c>
      <c r="B35" s="1">
        <v>46182.512789351851</v>
      </c>
      <c r="C35" t="s">
        <v>1</v>
      </c>
      <c r="D35" t="s">
        <v>54</v>
      </c>
      <c r="E35" t="s">
        <v>57</v>
      </c>
      <c r="F35" t="s">
        <v>1834</v>
      </c>
      <c r="G35" t="s">
        <v>20</v>
      </c>
      <c r="H35" t="s">
        <v>22</v>
      </c>
      <c r="I35" t="s">
        <v>23</v>
      </c>
      <c r="J35" t="s">
        <v>55</v>
      </c>
      <c r="K35" t="s">
        <v>173</v>
      </c>
      <c r="L35">
        <v>102</v>
      </c>
      <c r="M35">
        <v>539</v>
      </c>
      <c r="N35">
        <v>34000</v>
      </c>
      <c r="O35">
        <v>32.581806</v>
      </c>
      <c r="P35">
        <v>35.864333000000002</v>
      </c>
      <c r="Q35" t="s">
        <v>174</v>
      </c>
      <c r="S35" t="s">
        <v>1776</v>
      </c>
      <c r="U35" t="s">
        <v>1835</v>
      </c>
      <c r="V35" t="s">
        <v>41</v>
      </c>
      <c r="W35" t="s">
        <v>175</v>
      </c>
      <c r="Y35" t="str">
        <f t="shared" si="2"/>
        <v/>
      </c>
      <c r="Z35" t="str">
        <f>IF(NOT("" = ""), HYPERLINK("", "جولة"), "")</f>
        <v/>
      </c>
      <c r="AA35" t="str">
        <f>IF(NOT("https://maps.app.goo.gl/MgPEvYNVbhj5CJcv5" = ""), HYPERLINK("https://maps.app.goo.gl/MgPEvYNVbhj5CJcv5", "موقع"), "")</f>
        <v>موقع</v>
      </c>
    </row>
    <row r="36" spans="1:27" x14ac:dyDescent="0.3">
      <c r="A36" t="s">
        <v>176</v>
      </c>
      <c r="B36" s="1">
        <v>46182.512789351851</v>
      </c>
      <c r="C36" t="s">
        <v>1</v>
      </c>
      <c r="D36" t="s">
        <v>54</v>
      </c>
      <c r="E36" t="s">
        <v>180</v>
      </c>
      <c r="F36" t="s">
        <v>1836</v>
      </c>
      <c r="G36" t="s">
        <v>20</v>
      </c>
      <c r="H36" t="s">
        <v>22</v>
      </c>
      <c r="I36" t="s">
        <v>177</v>
      </c>
      <c r="J36" t="s">
        <v>178</v>
      </c>
      <c r="K36" t="s">
        <v>179</v>
      </c>
      <c r="L36">
        <v>111</v>
      </c>
      <c r="M36">
        <v>254</v>
      </c>
      <c r="N36">
        <v>35000</v>
      </c>
      <c r="Q36" t="s">
        <v>181</v>
      </c>
      <c r="S36" t="s">
        <v>1776</v>
      </c>
      <c r="V36" t="s">
        <v>32</v>
      </c>
      <c r="W36" t="s">
        <v>182</v>
      </c>
      <c r="Y36" t="str">
        <f t="shared" si="2"/>
        <v/>
      </c>
      <c r="Z36" t="str">
        <f>IF(NOT("" = ""), HYPERLINK("", "جولة"), "")</f>
        <v/>
      </c>
      <c r="AA36" t="str">
        <f>IF(NOT("" = ""), HYPERLINK("", "موقع"), "")</f>
        <v/>
      </c>
    </row>
    <row r="37" spans="1:27" x14ac:dyDescent="0.3">
      <c r="A37" t="s">
        <v>183</v>
      </c>
      <c r="B37" s="1">
        <v>46182.512789351851</v>
      </c>
      <c r="C37" t="s">
        <v>1</v>
      </c>
      <c r="D37" t="s">
        <v>54</v>
      </c>
      <c r="E37" t="s">
        <v>185</v>
      </c>
      <c r="F37" t="s">
        <v>1837</v>
      </c>
      <c r="G37" t="s">
        <v>20</v>
      </c>
      <c r="H37" t="s">
        <v>22</v>
      </c>
      <c r="I37" t="s">
        <v>23</v>
      </c>
      <c r="J37" t="s">
        <v>24</v>
      </c>
      <c r="K37" t="s">
        <v>184</v>
      </c>
      <c r="L37">
        <v>-101</v>
      </c>
      <c r="M37">
        <v>127</v>
      </c>
      <c r="N37">
        <v>35000</v>
      </c>
      <c r="O37">
        <v>32.563721999999999</v>
      </c>
      <c r="P37">
        <v>35.881360999999998</v>
      </c>
      <c r="Q37" t="s">
        <v>186</v>
      </c>
      <c r="R37" t="s">
        <v>1838</v>
      </c>
      <c r="S37" t="s">
        <v>1828</v>
      </c>
      <c r="U37" t="s">
        <v>1839</v>
      </c>
      <c r="V37" t="s">
        <v>27</v>
      </c>
      <c r="W37" t="s">
        <v>187</v>
      </c>
      <c r="Y37" t="str">
        <f t="shared" si="2"/>
        <v/>
      </c>
      <c r="Z37" t="str">
        <f>IF(NOT("https://truemarkets3d.net/3d-virtual-tour/housingbank-realestate/phase3/aq-re-100107/index.html" = ""), HYPERLINK("https://truemarkets3d.net/3d-virtual-tour/housingbank-realestate/phase3/aq-re-100107/index.html", "جولة"), "")</f>
        <v>جولة</v>
      </c>
      <c r="AA37" t="str">
        <f>IF(NOT("https://maps.app.goo.gl/UCxzHEFFf2i1wE8n7" = ""), HYPERLINK("https://maps.app.goo.gl/UCxzHEFFf2i1wE8n7", "موقع"), "")</f>
        <v>موقع</v>
      </c>
    </row>
    <row r="38" spans="1:27" x14ac:dyDescent="0.3">
      <c r="A38" t="s">
        <v>188</v>
      </c>
      <c r="B38" s="1">
        <v>46182.512789351851</v>
      </c>
      <c r="C38" t="s">
        <v>1</v>
      </c>
      <c r="D38" t="s">
        <v>54</v>
      </c>
      <c r="E38" t="s">
        <v>170</v>
      </c>
      <c r="F38" t="s">
        <v>1840</v>
      </c>
      <c r="G38" t="s">
        <v>20</v>
      </c>
      <c r="H38" t="s">
        <v>22</v>
      </c>
      <c r="I38" t="s">
        <v>23</v>
      </c>
      <c r="J38" t="s">
        <v>24</v>
      </c>
      <c r="K38" t="s">
        <v>189</v>
      </c>
      <c r="L38">
        <v>-102</v>
      </c>
      <c r="M38">
        <v>1248</v>
      </c>
      <c r="N38">
        <v>35000</v>
      </c>
      <c r="Q38" t="s">
        <v>190</v>
      </c>
      <c r="S38" t="s">
        <v>1776</v>
      </c>
      <c r="V38" t="s">
        <v>27</v>
      </c>
      <c r="W38" t="s">
        <v>191</v>
      </c>
      <c r="Y38" t="str">
        <f t="shared" si="2"/>
        <v/>
      </c>
      <c r="Z38" t="str">
        <f t="shared" ref="Z38:Z46" si="3">IF(NOT("" = ""), HYPERLINK("", "جولة"), "")</f>
        <v/>
      </c>
      <c r="AA38" t="str">
        <f>IF(NOT("" = ""), HYPERLINK("", "موقع"), "")</f>
        <v/>
      </c>
    </row>
    <row r="39" spans="1:27" x14ac:dyDescent="0.3">
      <c r="A39" t="s">
        <v>192</v>
      </c>
      <c r="B39" s="1">
        <v>46182.512789351851</v>
      </c>
      <c r="C39" t="s">
        <v>1</v>
      </c>
      <c r="D39" t="s">
        <v>54</v>
      </c>
      <c r="E39" t="s">
        <v>194</v>
      </c>
      <c r="F39" t="s">
        <v>1841</v>
      </c>
      <c r="G39" t="s">
        <v>20</v>
      </c>
      <c r="H39" t="s">
        <v>22</v>
      </c>
      <c r="I39" t="s">
        <v>23</v>
      </c>
      <c r="J39" t="s">
        <v>55</v>
      </c>
      <c r="K39" t="s">
        <v>193</v>
      </c>
      <c r="L39">
        <v>132</v>
      </c>
      <c r="M39">
        <v>938</v>
      </c>
      <c r="N39">
        <v>35000</v>
      </c>
      <c r="O39">
        <v>32.568860999999998</v>
      </c>
      <c r="P39">
        <v>35.837888999999997</v>
      </c>
      <c r="Q39" t="s">
        <v>195</v>
      </c>
      <c r="S39" t="s">
        <v>1776</v>
      </c>
      <c r="U39" t="s">
        <v>1842</v>
      </c>
      <c r="V39" t="s">
        <v>50</v>
      </c>
      <c r="W39" t="s">
        <v>196</v>
      </c>
      <c r="Y39" t="str">
        <f t="shared" si="2"/>
        <v/>
      </c>
      <c r="Z39" t="str">
        <f t="shared" si="3"/>
        <v/>
      </c>
      <c r="AA39" t="str">
        <f>IF(NOT("https://maps.app.goo.gl/CywpcXF2vXUGb5jy8" = ""), HYPERLINK("https://maps.app.goo.gl/CywpcXF2vXUGb5jy8", "موقع"), "")</f>
        <v>موقع</v>
      </c>
    </row>
    <row r="40" spans="1:27" x14ac:dyDescent="0.3">
      <c r="A40" t="s">
        <v>197</v>
      </c>
      <c r="B40" s="1">
        <v>46182.512789351851</v>
      </c>
      <c r="C40" t="s">
        <v>1</v>
      </c>
      <c r="D40" t="s">
        <v>54</v>
      </c>
      <c r="E40" t="s">
        <v>198</v>
      </c>
      <c r="F40" t="s">
        <v>1843</v>
      </c>
      <c r="G40" t="s">
        <v>20</v>
      </c>
      <c r="H40" t="s">
        <v>22</v>
      </c>
      <c r="I40" t="s">
        <v>23</v>
      </c>
      <c r="J40" t="s">
        <v>24</v>
      </c>
      <c r="K40" t="s">
        <v>25</v>
      </c>
      <c r="L40">
        <v>211</v>
      </c>
      <c r="M40">
        <v>1492</v>
      </c>
      <c r="N40">
        <v>36000</v>
      </c>
      <c r="O40">
        <v>32.552889</v>
      </c>
      <c r="P40">
        <v>35.860056</v>
      </c>
      <c r="Q40" t="s">
        <v>134</v>
      </c>
      <c r="S40" t="s">
        <v>1776</v>
      </c>
      <c r="U40" t="s">
        <v>1844</v>
      </c>
      <c r="V40" t="s">
        <v>32</v>
      </c>
      <c r="W40" t="s">
        <v>199</v>
      </c>
      <c r="Y40" t="str">
        <f t="shared" si="2"/>
        <v/>
      </c>
      <c r="Z40" t="str">
        <f t="shared" si="3"/>
        <v/>
      </c>
      <c r="AA40" t="str">
        <f>IF(NOT("https://maps.app.goo.gl/PqnSnwt8DfiB5KAq9" = ""), HYPERLINK("https://maps.app.goo.gl/PqnSnwt8DfiB5KAq9", "موقع"), "")</f>
        <v>موقع</v>
      </c>
    </row>
    <row r="41" spans="1:27" x14ac:dyDescent="0.3">
      <c r="A41" t="s">
        <v>200</v>
      </c>
      <c r="B41" s="1">
        <v>46182.512789351851</v>
      </c>
      <c r="C41" t="s">
        <v>1</v>
      </c>
      <c r="D41" t="s">
        <v>54</v>
      </c>
      <c r="E41" t="s">
        <v>201</v>
      </c>
      <c r="F41" t="s">
        <v>1845</v>
      </c>
      <c r="G41" t="s">
        <v>20</v>
      </c>
      <c r="H41" t="s">
        <v>22</v>
      </c>
      <c r="I41" t="s">
        <v>23</v>
      </c>
      <c r="J41" t="s">
        <v>24</v>
      </c>
      <c r="K41" t="s">
        <v>158</v>
      </c>
      <c r="L41">
        <v>141</v>
      </c>
      <c r="M41">
        <v>1713</v>
      </c>
      <c r="N41">
        <v>36000</v>
      </c>
      <c r="O41">
        <v>32.549028</v>
      </c>
      <c r="P41">
        <v>35.863083000000003</v>
      </c>
      <c r="Q41" t="s">
        <v>203</v>
      </c>
      <c r="S41" t="s">
        <v>1776</v>
      </c>
      <c r="U41" t="s">
        <v>1846</v>
      </c>
      <c r="V41" t="s">
        <v>202</v>
      </c>
      <c r="W41" t="s">
        <v>204</v>
      </c>
      <c r="Y41" t="str">
        <f t="shared" si="2"/>
        <v/>
      </c>
      <c r="Z41" t="str">
        <f t="shared" si="3"/>
        <v/>
      </c>
      <c r="AA41" t="str">
        <f>IF(NOT("https://maps.app.goo.gl/4Un7d65BjFH1Tevo6" = ""), HYPERLINK("https://maps.app.goo.gl/4Un7d65BjFH1Tevo6", "موقع"), "")</f>
        <v>موقع</v>
      </c>
    </row>
    <row r="42" spans="1:27" x14ac:dyDescent="0.3">
      <c r="A42" t="s">
        <v>205</v>
      </c>
      <c r="B42" s="1">
        <v>46182.512789351851</v>
      </c>
      <c r="C42" t="s">
        <v>1</v>
      </c>
      <c r="D42" t="s">
        <v>54</v>
      </c>
      <c r="E42" t="s">
        <v>170</v>
      </c>
      <c r="F42" t="s">
        <v>1847</v>
      </c>
      <c r="G42" t="s">
        <v>20</v>
      </c>
      <c r="H42" t="s">
        <v>22</v>
      </c>
      <c r="I42" t="s">
        <v>23</v>
      </c>
      <c r="J42" t="s">
        <v>24</v>
      </c>
      <c r="K42" t="s">
        <v>169</v>
      </c>
      <c r="L42">
        <v>232</v>
      </c>
      <c r="M42">
        <v>1846</v>
      </c>
      <c r="N42">
        <v>37000</v>
      </c>
      <c r="O42">
        <v>32.558833</v>
      </c>
      <c r="P42">
        <v>35.865361</v>
      </c>
      <c r="Q42" t="s">
        <v>206</v>
      </c>
      <c r="S42" t="s">
        <v>1776</v>
      </c>
      <c r="U42" t="s">
        <v>1848</v>
      </c>
      <c r="V42" t="s">
        <v>50</v>
      </c>
      <c r="W42" t="s">
        <v>207</v>
      </c>
      <c r="Y42" t="str">
        <f t="shared" si="2"/>
        <v/>
      </c>
      <c r="Z42" t="str">
        <f t="shared" si="3"/>
        <v/>
      </c>
      <c r="AA42" t="str">
        <f>IF(NOT("https://maps.app.goo.gl/TPrXW1EDVQ2waGSw8" = ""), HYPERLINK("https://maps.app.goo.gl/TPrXW1EDVQ2waGSw8", "موقع"), "")</f>
        <v>موقع</v>
      </c>
    </row>
    <row r="43" spans="1:27" x14ac:dyDescent="0.3">
      <c r="A43" t="s">
        <v>208</v>
      </c>
      <c r="B43" s="1">
        <v>46182.512789351851</v>
      </c>
      <c r="C43" t="s">
        <v>1</v>
      </c>
      <c r="D43" t="s">
        <v>54</v>
      </c>
      <c r="E43" t="s">
        <v>107</v>
      </c>
      <c r="F43" t="s">
        <v>1849</v>
      </c>
      <c r="G43" t="s">
        <v>20</v>
      </c>
      <c r="H43" t="s">
        <v>22</v>
      </c>
      <c r="I43" t="s">
        <v>111</v>
      </c>
      <c r="J43" t="s">
        <v>209</v>
      </c>
      <c r="K43" t="s">
        <v>210</v>
      </c>
      <c r="L43">
        <v>0</v>
      </c>
      <c r="M43">
        <v>180</v>
      </c>
      <c r="N43">
        <v>37000</v>
      </c>
      <c r="O43">
        <v>32.674971999999997</v>
      </c>
      <c r="P43">
        <v>35.787944000000003</v>
      </c>
      <c r="Q43" t="s">
        <v>211</v>
      </c>
      <c r="S43" t="s">
        <v>1776</v>
      </c>
      <c r="U43" t="s">
        <v>1850</v>
      </c>
      <c r="V43" t="s">
        <v>32</v>
      </c>
      <c r="W43" t="s">
        <v>212</v>
      </c>
      <c r="Y43" t="str">
        <f t="shared" si="2"/>
        <v/>
      </c>
      <c r="Z43" t="str">
        <f t="shared" si="3"/>
        <v/>
      </c>
      <c r="AA43" t="str">
        <f>IF(NOT("https://maps.app.goo.gl/dGHq4epphoU5ULie9" = ""), HYPERLINK("https://maps.app.goo.gl/dGHq4epphoU5ULie9", "موقع"), "")</f>
        <v>موقع</v>
      </c>
    </row>
    <row r="44" spans="1:27" x14ac:dyDescent="0.3">
      <c r="A44" t="s">
        <v>213</v>
      </c>
      <c r="B44" s="1">
        <v>46182.512789351851</v>
      </c>
      <c r="C44" t="s">
        <v>1</v>
      </c>
      <c r="D44" t="s">
        <v>54</v>
      </c>
      <c r="E44" t="s">
        <v>149</v>
      </c>
      <c r="F44" t="s">
        <v>1851</v>
      </c>
      <c r="G44" t="s">
        <v>20</v>
      </c>
      <c r="H44" t="s">
        <v>22</v>
      </c>
      <c r="I44" t="s">
        <v>23</v>
      </c>
      <c r="J44" t="s">
        <v>214</v>
      </c>
      <c r="K44" t="s">
        <v>215</v>
      </c>
      <c r="L44">
        <v>121</v>
      </c>
      <c r="M44">
        <v>803</v>
      </c>
      <c r="N44">
        <v>38000</v>
      </c>
      <c r="Q44" t="s">
        <v>216</v>
      </c>
      <c r="S44" t="s">
        <v>1776</v>
      </c>
      <c r="V44" t="s">
        <v>75</v>
      </c>
      <c r="W44" t="s">
        <v>217</v>
      </c>
      <c r="Y44" t="str">
        <f t="shared" si="2"/>
        <v/>
      </c>
      <c r="Z44" t="str">
        <f t="shared" si="3"/>
        <v/>
      </c>
      <c r="AA44" t="str">
        <f>IF(NOT("" = ""), HYPERLINK("", "موقع"), "")</f>
        <v/>
      </c>
    </row>
    <row r="45" spans="1:27" x14ac:dyDescent="0.3">
      <c r="A45" t="s">
        <v>218</v>
      </c>
      <c r="B45" s="1">
        <v>46182.512789351851</v>
      </c>
      <c r="C45" t="s">
        <v>1</v>
      </c>
      <c r="D45" t="s">
        <v>54</v>
      </c>
      <c r="E45" t="s">
        <v>185</v>
      </c>
      <c r="F45" t="s">
        <v>1852</v>
      </c>
      <c r="G45" t="s">
        <v>20</v>
      </c>
      <c r="H45" t="s">
        <v>22</v>
      </c>
      <c r="I45" t="s">
        <v>23</v>
      </c>
      <c r="J45" t="s">
        <v>24</v>
      </c>
      <c r="K45" t="s">
        <v>189</v>
      </c>
      <c r="L45">
        <v>121</v>
      </c>
      <c r="M45">
        <v>726</v>
      </c>
      <c r="N45">
        <v>39000</v>
      </c>
      <c r="O45">
        <v>32.549083000000003</v>
      </c>
      <c r="P45">
        <v>35.873361000000003</v>
      </c>
      <c r="Q45" t="s">
        <v>219</v>
      </c>
      <c r="S45" t="s">
        <v>1776</v>
      </c>
      <c r="U45" t="s">
        <v>1853</v>
      </c>
      <c r="V45" t="s">
        <v>75</v>
      </c>
      <c r="W45" t="s">
        <v>220</v>
      </c>
      <c r="Y45" t="str">
        <f t="shared" si="2"/>
        <v/>
      </c>
      <c r="Z45" t="str">
        <f t="shared" si="3"/>
        <v/>
      </c>
      <c r="AA45" t="str">
        <f>IF(NOT("https://maps.app.goo.gl/36qMcFscNxQ49Z9y9" = ""), HYPERLINK("https://maps.app.goo.gl/36qMcFscNxQ49Z9y9", "موقع"), "")</f>
        <v>موقع</v>
      </c>
    </row>
    <row r="46" spans="1:27" x14ac:dyDescent="0.3">
      <c r="A46" t="s">
        <v>221</v>
      </c>
      <c r="B46" s="1">
        <v>46182.512789351851</v>
      </c>
      <c r="C46" t="s">
        <v>1</v>
      </c>
      <c r="D46" t="s">
        <v>54</v>
      </c>
      <c r="E46" t="s">
        <v>163</v>
      </c>
      <c r="F46" t="s">
        <v>1854</v>
      </c>
      <c r="G46" t="s">
        <v>20</v>
      </c>
      <c r="H46" t="s">
        <v>22</v>
      </c>
      <c r="I46" t="s">
        <v>23</v>
      </c>
      <c r="J46" t="s">
        <v>153</v>
      </c>
      <c r="K46" t="s">
        <v>154</v>
      </c>
      <c r="L46">
        <v>121</v>
      </c>
      <c r="M46">
        <v>757</v>
      </c>
      <c r="N46">
        <v>40000</v>
      </c>
      <c r="O46">
        <v>32.523221999999997</v>
      </c>
      <c r="P46">
        <v>35.836111000000002</v>
      </c>
      <c r="Q46" t="s">
        <v>155</v>
      </c>
      <c r="S46" t="s">
        <v>1776</v>
      </c>
      <c r="U46" t="s">
        <v>1855</v>
      </c>
      <c r="V46" t="s">
        <v>75</v>
      </c>
      <c r="W46" t="s">
        <v>222</v>
      </c>
      <c r="Y46" t="str">
        <f t="shared" si="2"/>
        <v/>
      </c>
      <c r="Z46" t="str">
        <f t="shared" si="3"/>
        <v/>
      </c>
      <c r="AA46" t="str">
        <f>IF(NOT("https://maps.app.goo.gl/v8QHAXyBeqSDBGHJ9" = ""), HYPERLINK("https://maps.app.goo.gl/v8QHAXyBeqSDBGHJ9", "موقع"), "")</f>
        <v>موقع</v>
      </c>
    </row>
    <row r="47" spans="1:27" x14ac:dyDescent="0.3">
      <c r="A47" t="s">
        <v>223</v>
      </c>
      <c r="B47" s="1">
        <v>46182.512789351851</v>
      </c>
      <c r="C47" t="s">
        <v>1</v>
      </c>
      <c r="D47" t="s">
        <v>54</v>
      </c>
      <c r="E47" t="s">
        <v>225</v>
      </c>
      <c r="F47" t="s">
        <v>1856</v>
      </c>
      <c r="G47" t="s">
        <v>20</v>
      </c>
      <c r="H47" t="s">
        <v>22</v>
      </c>
      <c r="I47" t="s">
        <v>23</v>
      </c>
      <c r="J47" t="s">
        <v>24</v>
      </c>
      <c r="K47" t="s">
        <v>224</v>
      </c>
      <c r="L47">
        <v>133</v>
      </c>
      <c r="M47">
        <v>468</v>
      </c>
      <c r="N47">
        <v>41000</v>
      </c>
      <c r="O47">
        <v>32.543083000000003</v>
      </c>
      <c r="P47">
        <v>35.856527999999997</v>
      </c>
      <c r="Q47" t="s">
        <v>121</v>
      </c>
      <c r="R47" t="s">
        <v>1857</v>
      </c>
      <c r="S47" t="s">
        <v>1828</v>
      </c>
      <c r="U47" t="s">
        <v>1858</v>
      </c>
      <c r="V47" t="s">
        <v>50</v>
      </c>
      <c r="W47" t="s">
        <v>226</v>
      </c>
      <c r="Y47" t="str">
        <f t="shared" si="2"/>
        <v/>
      </c>
      <c r="Z47" t="str">
        <f>IF(NOT("https://truemarkets3d.net/3d-virtual-tour/housingbank-realestate/phase3/aq-re-100296/index.html" = ""), HYPERLINK("https://truemarkets3d.net/3d-virtual-tour/housingbank-realestate/phase3/aq-re-100296/index.html", "جولة"), "")</f>
        <v>جولة</v>
      </c>
      <c r="AA47" t="str">
        <f>IF(NOT("https://maps.app.goo.gl/QtRiHXsHnoZrmjbS7" = ""), HYPERLINK("https://maps.app.goo.gl/QtRiHXsHnoZrmjbS7", "موقع"), "")</f>
        <v>موقع</v>
      </c>
    </row>
    <row r="48" spans="1:27" x14ac:dyDescent="0.3">
      <c r="A48" t="s">
        <v>227</v>
      </c>
      <c r="B48" s="1">
        <v>46182.512789351851</v>
      </c>
      <c r="C48" t="s">
        <v>1</v>
      </c>
      <c r="D48" t="s">
        <v>54</v>
      </c>
      <c r="E48" t="s">
        <v>107</v>
      </c>
      <c r="F48" t="s">
        <v>1859</v>
      </c>
      <c r="G48" t="s">
        <v>20</v>
      </c>
      <c r="H48" t="s">
        <v>22</v>
      </c>
      <c r="I48" t="s">
        <v>23</v>
      </c>
      <c r="J48" t="s">
        <v>105</v>
      </c>
      <c r="K48" t="s">
        <v>228</v>
      </c>
      <c r="L48">
        <v>212</v>
      </c>
      <c r="M48">
        <v>257</v>
      </c>
      <c r="N48">
        <v>42000</v>
      </c>
      <c r="O48">
        <v>32.525860999999999</v>
      </c>
      <c r="P48">
        <v>35.851388999999998</v>
      </c>
      <c r="Q48" t="s">
        <v>229</v>
      </c>
      <c r="S48" t="s">
        <v>1776</v>
      </c>
      <c r="U48" t="s">
        <v>1860</v>
      </c>
      <c r="V48" t="s">
        <v>32</v>
      </c>
      <c r="W48" t="s">
        <v>230</v>
      </c>
      <c r="Y48" t="str">
        <f t="shared" si="2"/>
        <v/>
      </c>
      <c r="Z48" t="str">
        <f>IF(NOT("" = ""), HYPERLINK("", "جولة"), "")</f>
        <v/>
      </c>
      <c r="AA48" t="str">
        <f>IF(NOT("https://maps.app.goo.gl/uaa27MgRyaTBNXWC6" = ""), HYPERLINK("https://maps.app.goo.gl/uaa27MgRyaTBNXWC6", "موقع"), "")</f>
        <v>موقع</v>
      </c>
    </row>
    <row r="49" spans="1:27" x14ac:dyDescent="0.3">
      <c r="A49" t="s">
        <v>231</v>
      </c>
      <c r="B49" s="1">
        <v>46182.512789351851</v>
      </c>
      <c r="C49" t="s">
        <v>1</v>
      </c>
      <c r="D49" t="s">
        <v>54</v>
      </c>
      <c r="E49" t="s">
        <v>185</v>
      </c>
      <c r="F49" t="s">
        <v>1861</v>
      </c>
      <c r="G49" t="s">
        <v>20</v>
      </c>
      <c r="H49" t="s">
        <v>22</v>
      </c>
      <c r="I49" t="s">
        <v>23</v>
      </c>
      <c r="J49" t="s">
        <v>24</v>
      </c>
      <c r="K49" t="s">
        <v>232</v>
      </c>
      <c r="L49">
        <v>132</v>
      </c>
      <c r="M49">
        <v>625</v>
      </c>
      <c r="N49">
        <v>43000</v>
      </c>
      <c r="O49">
        <v>32.551861000000002</v>
      </c>
      <c r="P49">
        <v>35.868555999999998</v>
      </c>
      <c r="Q49" t="s">
        <v>233</v>
      </c>
      <c r="S49" t="s">
        <v>1776</v>
      </c>
      <c r="U49" t="s">
        <v>1862</v>
      </c>
      <c r="V49" t="s">
        <v>50</v>
      </c>
      <c r="W49" t="s">
        <v>234</v>
      </c>
      <c r="Y49" t="str">
        <f t="shared" si="2"/>
        <v/>
      </c>
      <c r="Z49" t="str">
        <f>IF(NOT("" = ""), HYPERLINK("", "جولة"), "")</f>
        <v/>
      </c>
      <c r="AA49" t="str">
        <f>IF(NOT("https://maps.app.goo.gl/GAujN5Ln8H6SXLUK6" = ""), HYPERLINK("https://maps.app.goo.gl/GAujN5Ln8H6SXLUK6", "موقع"), "")</f>
        <v>موقع</v>
      </c>
    </row>
    <row r="50" spans="1:27" x14ac:dyDescent="0.3">
      <c r="A50" t="s">
        <v>235</v>
      </c>
      <c r="B50" s="1">
        <v>46182.512789351851</v>
      </c>
      <c r="C50" t="s">
        <v>1</v>
      </c>
      <c r="D50" t="s">
        <v>54</v>
      </c>
      <c r="E50" t="s">
        <v>107</v>
      </c>
      <c r="F50" t="s">
        <v>1863</v>
      </c>
      <c r="G50" t="s">
        <v>20</v>
      </c>
      <c r="H50" t="s">
        <v>22</v>
      </c>
      <c r="I50" t="s">
        <v>23</v>
      </c>
      <c r="J50" t="s">
        <v>105</v>
      </c>
      <c r="K50" t="s">
        <v>228</v>
      </c>
      <c r="L50">
        <v>132</v>
      </c>
      <c r="M50">
        <v>349</v>
      </c>
      <c r="N50">
        <v>46000</v>
      </c>
      <c r="O50">
        <v>32.528222</v>
      </c>
      <c r="P50">
        <v>35.850777999999998</v>
      </c>
      <c r="Q50" t="s">
        <v>236</v>
      </c>
      <c r="S50" t="s">
        <v>1776</v>
      </c>
      <c r="U50" t="s">
        <v>1864</v>
      </c>
      <c r="V50" t="s">
        <v>50</v>
      </c>
      <c r="W50" t="s">
        <v>237</v>
      </c>
      <c r="Y50" t="str">
        <f t="shared" si="2"/>
        <v/>
      </c>
      <c r="Z50" t="str">
        <f>IF(NOT("" = ""), HYPERLINK("", "جولة"), "")</f>
        <v/>
      </c>
      <c r="AA50" t="str">
        <f>IF(NOT("https://maps.app.goo.gl/f5s35FVrWbP37fTZ6" = ""), HYPERLINK("https://maps.app.goo.gl/f5s35FVrWbP37fTZ6", "موقع"), "")</f>
        <v>موقع</v>
      </c>
    </row>
    <row r="51" spans="1:27" x14ac:dyDescent="0.3">
      <c r="A51" t="s">
        <v>238</v>
      </c>
      <c r="B51" s="1">
        <v>46182.512789351851</v>
      </c>
      <c r="C51" t="s">
        <v>1</v>
      </c>
      <c r="D51" t="s">
        <v>54</v>
      </c>
      <c r="E51" t="s">
        <v>170</v>
      </c>
      <c r="F51" t="s">
        <v>1865</v>
      </c>
      <c r="G51" t="s">
        <v>20</v>
      </c>
      <c r="H51" t="s">
        <v>22</v>
      </c>
      <c r="I51" t="s">
        <v>23</v>
      </c>
      <c r="J51" t="s">
        <v>24</v>
      </c>
      <c r="K51" t="s">
        <v>239</v>
      </c>
      <c r="L51">
        <v>131</v>
      </c>
      <c r="M51">
        <v>305</v>
      </c>
      <c r="N51">
        <v>46000</v>
      </c>
      <c r="O51">
        <v>32.566889000000003</v>
      </c>
      <c r="P51">
        <v>35.875556000000003</v>
      </c>
      <c r="Q51" t="s">
        <v>155</v>
      </c>
      <c r="S51" t="s">
        <v>1776</v>
      </c>
      <c r="U51" t="s">
        <v>1866</v>
      </c>
      <c r="V51" t="s">
        <v>50</v>
      </c>
      <c r="W51" t="s">
        <v>240</v>
      </c>
      <c r="Y51" t="str">
        <f t="shared" si="2"/>
        <v/>
      </c>
      <c r="Z51" t="str">
        <f>IF(NOT("" = ""), HYPERLINK("", "جولة"), "")</f>
        <v/>
      </c>
      <c r="AA51" t="str">
        <f>IF(NOT("https://maps.app.goo.gl/vHFYZFYjc8xbosCz7" = ""), HYPERLINK("https://maps.app.goo.gl/vHFYZFYjc8xbosCz7", "موقع"), "")</f>
        <v>موقع</v>
      </c>
    </row>
    <row r="52" spans="1:27" x14ac:dyDescent="0.3">
      <c r="A52" t="s">
        <v>241</v>
      </c>
      <c r="B52" s="1">
        <v>46182.512789351851</v>
      </c>
      <c r="C52" t="s">
        <v>1</v>
      </c>
      <c r="D52" t="s">
        <v>54</v>
      </c>
      <c r="E52" t="s">
        <v>244</v>
      </c>
      <c r="F52" t="s">
        <v>1867</v>
      </c>
      <c r="G52" t="s">
        <v>20</v>
      </c>
      <c r="H52" t="s">
        <v>22</v>
      </c>
      <c r="I52" t="s">
        <v>23</v>
      </c>
      <c r="J52" t="s">
        <v>242</v>
      </c>
      <c r="K52" t="s">
        <v>243</v>
      </c>
      <c r="L52">
        <v>101</v>
      </c>
      <c r="M52">
        <v>374</v>
      </c>
      <c r="N52">
        <v>49000</v>
      </c>
      <c r="Q52" t="s">
        <v>155</v>
      </c>
      <c r="R52" t="s">
        <v>1868</v>
      </c>
      <c r="S52" t="s">
        <v>1828</v>
      </c>
      <c r="V52" t="s">
        <v>41</v>
      </c>
      <c r="W52" t="s">
        <v>245</v>
      </c>
      <c r="Y52" t="str">
        <f t="shared" si="2"/>
        <v/>
      </c>
      <c r="Z52" t="str">
        <f>IF(NOT("https://truemarkets3d.net/3d-virtual-tour/housingbank-realestate/phase3/aq-re-100295/index.html" = ""), HYPERLINK("https://truemarkets3d.net/3d-virtual-tour/housingbank-realestate/phase3/aq-re-100295/index.html", "جولة"), "")</f>
        <v>جولة</v>
      </c>
      <c r="AA52" t="str">
        <f>IF(NOT("" = ""), HYPERLINK("", "موقع"), "")</f>
        <v/>
      </c>
    </row>
    <row r="53" spans="1:27" x14ac:dyDescent="0.3">
      <c r="A53" t="s">
        <v>246</v>
      </c>
      <c r="B53" s="1">
        <v>46182.512789351851</v>
      </c>
      <c r="C53" t="s">
        <v>1</v>
      </c>
      <c r="D53" t="s">
        <v>54</v>
      </c>
      <c r="E53" t="s">
        <v>247</v>
      </c>
      <c r="F53" t="s">
        <v>1869</v>
      </c>
      <c r="G53" t="s">
        <v>20</v>
      </c>
      <c r="H53" t="s">
        <v>22</v>
      </c>
      <c r="I53" t="s">
        <v>23</v>
      </c>
      <c r="J53" t="s">
        <v>24</v>
      </c>
      <c r="K53" t="s">
        <v>224</v>
      </c>
      <c r="L53">
        <v>132</v>
      </c>
      <c r="M53">
        <v>842</v>
      </c>
      <c r="N53">
        <v>52000</v>
      </c>
      <c r="O53">
        <v>32.539028000000002</v>
      </c>
      <c r="P53">
        <v>35.867972000000002</v>
      </c>
      <c r="Q53" t="s">
        <v>248</v>
      </c>
      <c r="R53" t="s">
        <v>1870</v>
      </c>
      <c r="S53" t="s">
        <v>1828</v>
      </c>
      <c r="U53" t="s">
        <v>1871</v>
      </c>
      <c r="V53" t="s">
        <v>50</v>
      </c>
      <c r="W53" t="s">
        <v>249</v>
      </c>
      <c r="X53" t="s">
        <v>1872</v>
      </c>
      <c r="Y53" t="str">
        <f>IF(NOT("https://youtu.be/beTr7DsGWVw" = ""), HYPERLINK("https://youtu.be/beTr7DsGWVw", "فيديو"), "")</f>
        <v>فيديو</v>
      </c>
      <c r="Z53" t="str">
        <f>IF(NOT("https://truemarkets3d.net/3d-virtual-tour/housingbank-realestate/phase3/aq-re-100661/index.html" = ""), HYPERLINK("https://truemarkets3d.net/3d-virtual-tour/housingbank-realestate/phase3/aq-re-100661/index.html", "جولة"), "")</f>
        <v>جولة</v>
      </c>
      <c r="AA53" t="str">
        <f>IF(NOT("https://maps.app.goo.gl/pGAVMdEPoCjS4GaAA" = ""), HYPERLINK("https://maps.app.goo.gl/pGAVMdEPoCjS4GaAA", "موقع"), "")</f>
        <v>موقع</v>
      </c>
    </row>
    <row r="54" spans="1:27" x14ac:dyDescent="0.3">
      <c r="A54" t="s">
        <v>250</v>
      </c>
      <c r="B54" s="1">
        <v>46182.512789351851</v>
      </c>
      <c r="C54" t="s">
        <v>1</v>
      </c>
      <c r="D54" t="s">
        <v>54</v>
      </c>
      <c r="E54" t="s">
        <v>107</v>
      </c>
      <c r="F54" t="s">
        <v>1873</v>
      </c>
      <c r="G54" t="s">
        <v>20</v>
      </c>
      <c r="H54" t="s">
        <v>22</v>
      </c>
      <c r="I54" t="s">
        <v>23</v>
      </c>
      <c r="J54" t="s">
        <v>105</v>
      </c>
      <c r="K54" t="s">
        <v>251</v>
      </c>
      <c r="L54">
        <v>111</v>
      </c>
      <c r="M54">
        <v>185</v>
      </c>
      <c r="N54">
        <v>52000</v>
      </c>
      <c r="O54">
        <v>32.495443999999999</v>
      </c>
      <c r="P54">
        <v>35.855417000000003</v>
      </c>
      <c r="Q54" t="s">
        <v>252</v>
      </c>
      <c r="S54" t="s">
        <v>1776</v>
      </c>
      <c r="U54" t="s">
        <v>1874</v>
      </c>
      <c r="V54" t="s">
        <v>32</v>
      </c>
      <c r="W54" t="s">
        <v>253</v>
      </c>
      <c r="Y54" t="str">
        <f>IF(NOT("" = ""), HYPERLINK("", "فيديو"), "")</f>
        <v/>
      </c>
      <c r="Z54" t="str">
        <f>IF(NOT("" = ""), HYPERLINK("", "جولة"), "")</f>
        <v/>
      </c>
      <c r="AA54" t="str">
        <f>IF(NOT("https://maps.app.goo.gl/pHxLANYNf5vhEM3m9" = ""), HYPERLINK("https://maps.app.goo.gl/pHxLANYNf5vhEM3m9", "موقع"), "")</f>
        <v>موقع</v>
      </c>
    </row>
    <row r="55" spans="1:27" x14ac:dyDescent="0.3">
      <c r="A55" t="s">
        <v>254</v>
      </c>
      <c r="B55" s="1">
        <v>46182.512789351851</v>
      </c>
      <c r="C55" t="s">
        <v>1</v>
      </c>
      <c r="D55" t="s">
        <v>54</v>
      </c>
      <c r="E55" t="s">
        <v>185</v>
      </c>
      <c r="F55" t="s">
        <v>1875</v>
      </c>
      <c r="G55" t="s">
        <v>20</v>
      </c>
      <c r="H55" t="s">
        <v>22</v>
      </c>
      <c r="I55" t="s">
        <v>23</v>
      </c>
      <c r="J55" t="s">
        <v>24</v>
      </c>
      <c r="K55" t="s">
        <v>184</v>
      </c>
      <c r="L55">
        <v>102</v>
      </c>
      <c r="M55">
        <v>454</v>
      </c>
      <c r="N55">
        <v>60000</v>
      </c>
      <c r="O55">
        <v>32.563583000000001</v>
      </c>
      <c r="P55">
        <v>35.875222000000001</v>
      </c>
      <c r="Q55" t="s">
        <v>255</v>
      </c>
      <c r="S55" t="s">
        <v>1776</v>
      </c>
      <c r="U55" t="s">
        <v>1876</v>
      </c>
      <c r="V55" t="s">
        <v>41</v>
      </c>
      <c r="W55" t="s">
        <v>256</v>
      </c>
      <c r="Y55" t="str">
        <f>IF(NOT("" = ""), HYPERLINK("", "فيديو"), "")</f>
        <v/>
      </c>
      <c r="Z55" t="str">
        <f>IF(NOT("" = ""), HYPERLINK("", "جولة"), "")</f>
        <v/>
      </c>
      <c r="AA55" t="str">
        <f>IF(NOT("https://maps.app.goo.gl/2GDfBetfSssmAttz7" = ""), HYPERLINK("https://maps.app.goo.gl/2GDfBetfSssmAttz7", "موقع"), "")</f>
        <v>موقع</v>
      </c>
    </row>
    <row r="56" spans="1:27" x14ac:dyDescent="0.3">
      <c r="A56" t="s">
        <v>257</v>
      </c>
      <c r="B56" s="1">
        <v>46182.512789351851</v>
      </c>
      <c r="C56" t="s">
        <v>1</v>
      </c>
      <c r="D56" t="s">
        <v>54</v>
      </c>
      <c r="E56" t="s">
        <v>149</v>
      </c>
      <c r="F56" t="s">
        <v>1877</v>
      </c>
      <c r="G56" t="s">
        <v>20</v>
      </c>
      <c r="H56" t="s">
        <v>22</v>
      </c>
      <c r="I56" t="s">
        <v>23</v>
      </c>
      <c r="J56" t="s">
        <v>214</v>
      </c>
      <c r="K56" t="s">
        <v>258</v>
      </c>
      <c r="L56">
        <v>102</v>
      </c>
      <c r="M56">
        <v>744</v>
      </c>
      <c r="N56">
        <v>94000</v>
      </c>
      <c r="O56">
        <v>32.536833000000001</v>
      </c>
      <c r="P56">
        <v>35.835583</v>
      </c>
      <c r="Q56" t="s">
        <v>259</v>
      </c>
      <c r="R56" t="s">
        <v>1878</v>
      </c>
      <c r="S56" t="s">
        <v>1828</v>
      </c>
      <c r="U56" t="s">
        <v>1879</v>
      </c>
      <c r="V56" t="s">
        <v>41</v>
      </c>
      <c r="W56" t="s">
        <v>260</v>
      </c>
      <c r="X56" t="s">
        <v>1880</v>
      </c>
      <c r="Y56" t="str">
        <f>IF(NOT("https://youtu.be/D8Y4KRclEZE" = ""), HYPERLINK("https://youtu.be/D8Y4KRclEZE", "فيديو"), "")</f>
        <v>فيديو</v>
      </c>
      <c r="Z56" t="str">
        <f>IF(NOT("https://truemarkets3d.net/3d-virtual-tour/housingbank-realestate/phase3/aq-re-100859/index.html" = ""), HYPERLINK("https://truemarkets3d.net/3d-virtual-tour/housingbank-realestate/phase3/aq-re-100859/index.html", "جولة"), "")</f>
        <v>جولة</v>
      </c>
      <c r="AA56" t="str">
        <f>IF(NOT("https://maps.app.goo.gl/zSEA5XpME1wWKdWV7" = ""), HYPERLINK("https://maps.app.goo.gl/zSEA5XpME1wWKdWV7", "موقع"), "")</f>
        <v>موقع</v>
      </c>
    </row>
    <row r="57" spans="1:27" x14ac:dyDescent="0.3">
      <c r="A57" t="s">
        <v>261</v>
      </c>
      <c r="B57" s="1">
        <v>46182.512789351851</v>
      </c>
      <c r="C57" t="s">
        <v>1</v>
      </c>
      <c r="D57" t="s">
        <v>263</v>
      </c>
      <c r="E57" t="s">
        <v>266</v>
      </c>
      <c r="F57" t="s">
        <v>1881</v>
      </c>
      <c r="G57" t="s">
        <v>262</v>
      </c>
      <c r="H57" t="s">
        <v>22</v>
      </c>
      <c r="I57" t="s">
        <v>83</v>
      </c>
      <c r="J57" t="s">
        <v>264</v>
      </c>
      <c r="K57" t="s">
        <v>265</v>
      </c>
      <c r="L57">
        <v>0</v>
      </c>
      <c r="M57">
        <v>452</v>
      </c>
      <c r="N57">
        <v>116000</v>
      </c>
      <c r="O57">
        <v>32.527500000000003</v>
      </c>
      <c r="P57">
        <v>35.601917</v>
      </c>
      <c r="Q57" t="s">
        <v>267</v>
      </c>
      <c r="S57" t="s">
        <v>1776</v>
      </c>
      <c r="U57" t="s">
        <v>1882</v>
      </c>
      <c r="W57" t="s">
        <v>268</v>
      </c>
      <c r="Y57" t="str">
        <f t="shared" ref="Y57:Y92" si="4">IF(NOT("" = ""), HYPERLINK("", "فيديو"), "")</f>
        <v/>
      </c>
      <c r="Z57" t="str">
        <f t="shared" ref="Z57:Z80" si="5">IF(NOT("" = ""), HYPERLINK("", "جولة"), "")</f>
        <v/>
      </c>
      <c r="AA57" t="str">
        <f>IF(NOT("https://maps.app.goo.gl/8Ujsip4rf9woKEHE7" = ""), HYPERLINK("https://maps.app.goo.gl/8Ujsip4rf9woKEHE7", "موقع"), "")</f>
        <v>موقع</v>
      </c>
    </row>
    <row r="58" spans="1:27" x14ac:dyDescent="0.3">
      <c r="A58" t="s">
        <v>269</v>
      </c>
      <c r="B58" s="1">
        <v>46182.512789351851</v>
      </c>
      <c r="C58" t="s">
        <v>1</v>
      </c>
      <c r="D58" t="s">
        <v>263</v>
      </c>
      <c r="E58" t="s">
        <v>272</v>
      </c>
      <c r="F58" t="s">
        <v>1883</v>
      </c>
      <c r="G58" t="s">
        <v>262</v>
      </c>
      <c r="H58" t="s">
        <v>22</v>
      </c>
      <c r="I58" t="s">
        <v>177</v>
      </c>
      <c r="J58" t="s">
        <v>270</v>
      </c>
      <c r="K58" t="s">
        <v>271</v>
      </c>
      <c r="L58">
        <v>0</v>
      </c>
      <c r="M58">
        <v>222</v>
      </c>
      <c r="N58">
        <v>139000</v>
      </c>
      <c r="O58">
        <v>32.547443999999999</v>
      </c>
      <c r="P58">
        <v>36.004806000000002</v>
      </c>
      <c r="Q58" t="s">
        <v>273</v>
      </c>
      <c r="S58" t="s">
        <v>1776</v>
      </c>
      <c r="U58" t="s">
        <v>1884</v>
      </c>
      <c r="W58" t="s">
        <v>274</v>
      </c>
      <c r="Y58" t="str">
        <f t="shared" si="4"/>
        <v/>
      </c>
      <c r="Z58" t="str">
        <f t="shared" si="5"/>
        <v/>
      </c>
      <c r="AA58" t="str">
        <f>IF(NOT("https://maps.app.goo.gl/VBdXXByHUnzCPgCt9" = ""), HYPERLINK("https://maps.app.goo.gl/VBdXXByHUnzCPgCt9", "موقع"), "")</f>
        <v>موقع</v>
      </c>
    </row>
    <row r="59" spans="1:27" x14ac:dyDescent="0.3">
      <c r="A59" t="s">
        <v>275</v>
      </c>
      <c r="B59" s="1">
        <v>46182.512789351851</v>
      </c>
      <c r="C59" t="s">
        <v>1</v>
      </c>
      <c r="D59" t="s">
        <v>263</v>
      </c>
      <c r="E59" t="s">
        <v>277</v>
      </c>
      <c r="F59" t="s">
        <v>1885</v>
      </c>
      <c r="G59" t="s">
        <v>262</v>
      </c>
      <c r="H59" t="s">
        <v>22</v>
      </c>
      <c r="I59" t="s">
        <v>23</v>
      </c>
      <c r="J59" t="s">
        <v>55</v>
      </c>
      <c r="K59" t="s">
        <v>276</v>
      </c>
      <c r="L59">
        <v>0</v>
      </c>
      <c r="M59">
        <v>1137</v>
      </c>
      <c r="N59">
        <v>482000</v>
      </c>
      <c r="Q59" t="s">
        <v>278</v>
      </c>
      <c r="S59" t="s">
        <v>1776</v>
      </c>
      <c r="W59" t="s">
        <v>279</v>
      </c>
      <c r="Y59" t="str">
        <f t="shared" si="4"/>
        <v/>
      </c>
      <c r="Z59" t="str">
        <f t="shared" si="5"/>
        <v/>
      </c>
      <c r="AA59" t="str">
        <f>IF(NOT("" = ""), HYPERLINK("", "موقع"), "")</f>
        <v/>
      </c>
    </row>
    <row r="60" spans="1:27" x14ac:dyDescent="0.3">
      <c r="A60" t="s">
        <v>280</v>
      </c>
      <c r="B60" s="1">
        <v>46182.512789351851</v>
      </c>
      <c r="C60" t="s">
        <v>1</v>
      </c>
      <c r="D60" t="s">
        <v>281</v>
      </c>
      <c r="E60" t="s">
        <v>283</v>
      </c>
      <c r="F60" t="s">
        <v>1886</v>
      </c>
      <c r="G60" t="s">
        <v>262</v>
      </c>
      <c r="H60" t="s">
        <v>22</v>
      </c>
      <c r="I60" t="s">
        <v>111</v>
      </c>
      <c r="J60" t="s">
        <v>282</v>
      </c>
      <c r="K60" t="s">
        <v>119</v>
      </c>
      <c r="L60">
        <v>0</v>
      </c>
      <c r="M60">
        <v>714</v>
      </c>
      <c r="N60">
        <v>9000</v>
      </c>
      <c r="O60">
        <v>32.662360999999997</v>
      </c>
      <c r="P60">
        <v>35.783999999999999</v>
      </c>
      <c r="Q60" t="s">
        <v>284</v>
      </c>
      <c r="S60" t="s">
        <v>1776</v>
      </c>
      <c r="U60" t="s">
        <v>1887</v>
      </c>
      <c r="W60" t="s">
        <v>285</v>
      </c>
      <c r="Y60" t="str">
        <f t="shared" si="4"/>
        <v/>
      </c>
      <c r="Z60" t="str">
        <f t="shared" si="5"/>
        <v/>
      </c>
      <c r="AA60" t="str">
        <f>IF(NOT("https://maps.app.goo.gl/2UhYhAw9hhAgwC5T9" = ""), HYPERLINK("https://maps.app.goo.gl/2UhYhAw9hhAgwC5T9", "موقع"), "")</f>
        <v>موقع</v>
      </c>
    </row>
    <row r="61" spans="1:27" x14ac:dyDescent="0.3">
      <c r="A61" t="s">
        <v>286</v>
      </c>
      <c r="B61" s="1">
        <v>46182.512789351851</v>
      </c>
      <c r="C61" t="s">
        <v>1</v>
      </c>
      <c r="D61" t="s">
        <v>281</v>
      </c>
      <c r="E61" t="s">
        <v>266</v>
      </c>
      <c r="F61" t="s">
        <v>1888</v>
      </c>
      <c r="G61" t="s">
        <v>262</v>
      </c>
      <c r="H61" t="s">
        <v>22</v>
      </c>
      <c r="I61" t="s">
        <v>83</v>
      </c>
      <c r="J61" t="s">
        <v>264</v>
      </c>
      <c r="K61" t="s">
        <v>265</v>
      </c>
      <c r="L61">
        <v>0</v>
      </c>
      <c r="M61">
        <v>178</v>
      </c>
      <c r="N61">
        <v>17000</v>
      </c>
      <c r="Q61" t="s">
        <v>287</v>
      </c>
      <c r="S61" t="s">
        <v>1776</v>
      </c>
      <c r="W61" t="s">
        <v>288</v>
      </c>
      <c r="Y61" t="str">
        <f t="shared" si="4"/>
        <v/>
      </c>
      <c r="Z61" t="str">
        <f t="shared" si="5"/>
        <v/>
      </c>
      <c r="AA61" t="str">
        <f>IF(NOT("" = ""), HYPERLINK("", "موقع"), "")</f>
        <v/>
      </c>
    </row>
    <row r="62" spans="1:27" x14ac:dyDescent="0.3">
      <c r="A62" t="s">
        <v>289</v>
      </c>
      <c r="B62" s="1">
        <v>46182.512789351851</v>
      </c>
      <c r="C62" t="s">
        <v>1</v>
      </c>
      <c r="D62" t="s">
        <v>281</v>
      </c>
      <c r="E62" t="s">
        <v>49</v>
      </c>
      <c r="F62" t="s">
        <v>1889</v>
      </c>
      <c r="G62" t="s">
        <v>262</v>
      </c>
      <c r="H62" t="s">
        <v>22</v>
      </c>
      <c r="I62" t="s">
        <v>46</v>
      </c>
      <c r="J62" t="s">
        <v>290</v>
      </c>
      <c r="K62" t="s">
        <v>119</v>
      </c>
      <c r="L62">
        <v>0</v>
      </c>
      <c r="M62">
        <v>728</v>
      </c>
      <c r="N62">
        <v>18000</v>
      </c>
      <c r="O62">
        <v>32.509110999999997</v>
      </c>
      <c r="P62">
        <v>35.731028000000002</v>
      </c>
      <c r="Q62" t="s">
        <v>291</v>
      </c>
      <c r="S62" t="s">
        <v>1776</v>
      </c>
      <c r="U62" t="s">
        <v>1890</v>
      </c>
      <c r="W62" t="s">
        <v>292</v>
      </c>
      <c r="Y62" t="str">
        <f t="shared" si="4"/>
        <v/>
      </c>
      <c r="Z62" t="str">
        <f t="shared" si="5"/>
        <v/>
      </c>
      <c r="AA62" t="str">
        <f>IF(NOT("https://maps.app.goo.gl/GhUogGQa5hb9EAU99" = ""), HYPERLINK("https://maps.app.goo.gl/GhUogGQa5hb9EAU99", "موقع"), "")</f>
        <v>موقع</v>
      </c>
    </row>
    <row r="63" spans="1:27" x14ac:dyDescent="0.3">
      <c r="A63" t="s">
        <v>293</v>
      </c>
      <c r="B63" s="1">
        <v>46182.512789351851</v>
      </c>
      <c r="C63" t="s">
        <v>1</v>
      </c>
      <c r="D63" t="s">
        <v>281</v>
      </c>
      <c r="E63" t="s">
        <v>295</v>
      </c>
      <c r="F63" t="s">
        <v>1891</v>
      </c>
      <c r="G63" t="s">
        <v>262</v>
      </c>
      <c r="H63" t="s">
        <v>22</v>
      </c>
      <c r="I63" t="s">
        <v>23</v>
      </c>
      <c r="J63" t="s">
        <v>294</v>
      </c>
      <c r="K63" t="s">
        <v>119</v>
      </c>
      <c r="L63">
        <v>111</v>
      </c>
      <c r="M63">
        <v>706</v>
      </c>
      <c r="N63">
        <v>18000</v>
      </c>
      <c r="Q63" t="s">
        <v>296</v>
      </c>
      <c r="S63" t="s">
        <v>1776</v>
      </c>
      <c r="W63" t="s">
        <v>297</v>
      </c>
      <c r="Y63" t="str">
        <f t="shared" si="4"/>
        <v/>
      </c>
      <c r="Z63" t="str">
        <f t="shared" si="5"/>
        <v/>
      </c>
      <c r="AA63" t="str">
        <f>IF(NOT("" = ""), HYPERLINK("", "موقع"), "")</f>
        <v/>
      </c>
    </row>
    <row r="64" spans="1:27" x14ac:dyDescent="0.3">
      <c r="A64" t="s">
        <v>298</v>
      </c>
      <c r="B64" s="1">
        <v>46182.512789351851</v>
      </c>
      <c r="C64" t="s">
        <v>1</v>
      </c>
      <c r="D64" t="s">
        <v>281</v>
      </c>
      <c r="E64" t="s">
        <v>301</v>
      </c>
      <c r="F64" t="s">
        <v>1892</v>
      </c>
      <c r="G64" t="s">
        <v>262</v>
      </c>
      <c r="H64" t="s">
        <v>22</v>
      </c>
      <c r="I64" t="s">
        <v>83</v>
      </c>
      <c r="J64" t="s">
        <v>299</v>
      </c>
      <c r="K64" t="s">
        <v>300</v>
      </c>
      <c r="L64">
        <v>0</v>
      </c>
      <c r="M64">
        <v>94</v>
      </c>
      <c r="N64">
        <v>18000</v>
      </c>
      <c r="O64">
        <v>32.315972000000002</v>
      </c>
      <c r="P64">
        <v>35.584277999999998</v>
      </c>
      <c r="Q64" t="s">
        <v>302</v>
      </c>
      <c r="S64" t="s">
        <v>1776</v>
      </c>
      <c r="U64" t="s">
        <v>1893</v>
      </c>
      <c r="W64" t="s">
        <v>303</v>
      </c>
      <c r="Y64" t="str">
        <f t="shared" si="4"/>
        <v/>
      </c>
      <c r="Z64" t="str">
        <f t="shared" si="5"/>
        <v/>
      </c>
      <c r="AA64" t="str">
        <f>IF(NOT("https://maps.app.goo.gl/xfueMc3S6FseMnuQ6" = ""), HYPERLINK("https://maps.app.goo.gl/xfueMc3S6FseMnuQ6", "موقع"), "")</f>
        <v>موقع</v>
      </c>
    </row>
    <row r="65" spans="1:27" x14ac:dyDescent="0.3">
      <c r="A65" t="s">
        <v>304</v>
      </c>
      <c r="B65" s="1">
        <v>46182.512789351851</v>
      </c>
      <c r="C65" t="s">
        <v>1</v>
      </c>
      <c r="D65" t="s">
        <v>281</v>
      </c>
      <c r="E65" t="s">
        <v>306</v>
      </c>
      <c r="F65" t="s">
        <v>1894</v>
      </c>
      <c r="G65" t="s">
        <v>262</v>
      </c>
      <c r="H65" t="s">
        <v>22</v>
      </c>
      <c r="I65" t="s">
        <v>23</v>
      </c>
      <c r="J65" t="s">
        <v>305</v>
      </c>
      <c r="K65" t="s">
        <v>119</v>
      </c>
      <c r="L65">
        <v>0</v>
      </c>
      <c r="M65">
        <v>729</v>
      </c>
      <c r="N65">
        <v>24000</v>
      </c>
      <c r="O65">
        <v>32.594110999999998</v>
      </c>
      <c r="P65">
        <v>35.884082999999997</v>
      </c>
      <c r="Q65" t="s">
        <v>307</v>
      </c>
      <c r="S65" t="s">
        <v>1776</v>
      </c>
      <c r="U65" t="s">
        <v>1895</v>
      </c>
      <c r="W65" t="s">
        <v>308</v>
      </c>
      <c r="Y65" t="str">
        <f t="shared" si="4"/>
        <v/>
      </c>
      <c r="Z65" t="str">
        <f t="shared" si="5"/>
        <v/>
      </c>
      <c r="AA65" t="str">
        <f>IF(NOT("https://maps.app.goo.gl/yrsuFhMg29HqzpgT8" = ""), HYPERLINK("https://maps.app.goo.gl/yrsuFhMg29HqzpgT8", "موقع"), "")</f>
        <v>موقع</v>
      </c>
    </row>
    <row r="66" spans="1:27" x14ac:dyDescent="0.3">
      <c r="A66" t="s">
        <v>309</v>
      </c>
      <c r="B66" s="1">
        <v>46182.512789351851</v>
      </c>
      <c r="C66" t="s">
        <v>1</v>
      </c>
      <c r="D66" t="s">
        <v>281</v>
      </c>
      <c r="E66" t="s">
        <v>312</v>
      </c>
      <c r="F66" t="s">
        <v>1896</v>
      </c>
      <c r="G66" t="s">
        <v>262</v>
      </c>
      <c r="H66" t="s">
        <v>22</v>
      </c>
      <c r="I66" t="s">
        <v>310</v>
      </c>
      <c r="J66" t="s">
        <v>311</v>
      </c>
      <c r="K66" t="s">
        <v>79</v>
      </c>
      <c r="L66">
        <v>201</v>
      </c>
      <c r="M66">
        <v>771</v>
      </c>
      <c r="N66">
        <v>28000</v>
      </c>
      <c r="Q66" t="s">
        <v>313</v>
      </c>
      <c r="S66" t="s">
        <v>1776</v>
      </c>
      <c r="W66" t="s">
        <v>314</v>
      </c>
      <c r="Y66" t="str">
        <f t="shared" si="4"/>
        <v/>
      </c>
      <c r="Z66" t="str">
        <f t="shared" si="5"/>
        <v/>
      </c>
      <c r="AA66" t="str">
        <f>IF(NOT("" = ""), HYPERLINK("", "موقع"), "")</f>
        <v/>
      </c>
    </row>
    <row r="67" spans="1:27" x14ac:dyDescent="0.3">
      <c r="A67" t="s">
        <v>315</v>
      </c>
      <c r="B67" s="1">
        <v>46182.512789351851</v>
      </c>
      <c r="C67" t="s">
        <v>1</v>
      </c>
      <c r="D67" t="s">
        <v>281</v>
      </c>
      <c r="E67" t="s">
        <v>318</v>
      </c>
      <c r="F67" t="s">
        <v>1897</v>
      </c>
      <c r="G67" t="s">
        <v>262</v>
      </c>
      <c r="H67" t="s">
        <v>22</v>
      </c>
      <c r="I67" t="s">
        <v>111</v>
      </c>
      <c r="J67" t="s">
        <v>316</v>
      </c>
      <c r="K67" t="s">
        <v>317</v>
      </c>
      <c r="L67">
        <v>0</v>
      </c>
      <c r="M67">
        <v>61</v>
      </c>
      <c r="N67">
        <v>29000</v>
      </c>
      <c r="Q67" t="s">
        <v>319</v>
      </c>
      <c r="S67" t="s">
        <v>1776</v>
      </c>
      <c r="W67" t="s">
        <v>320</v>
      </c>
      <c r="Y67" t="str">
        <f t="shared" si="4"/>
        <v/>
      </c>
      <c r="Z67" t="str">
        <f t="shared" si="5"/>
        <v/>
      </c>
      <c r="AA67" t="str">
        <f>IF(NOT("" = ""), HYPERLINK("", "موقع"), "")</f>
        <v/>
      </c>
    </row>
    <row r="68" spans="1:27" x14ac:dyDescent="0.3">
      <c r="A68" t="s">
        <v>321</v>
      </c>
      <c r="B68" s="1">
        <v>46182.512789351851</v>
      </c>
      <c r="C68" t="s">
        <v>1</v>
      </c>
      <c r="D68" t="s">
        <v>281</v>
      </c>
      <c r="E68" t="s">
        <v>244</v>
      </c>
      <c r="F68" t="s">
        <v>1898</v>
      </c>
      <c r="G68" t="s">
        <v>262</v>
      </c>
      <c r="H68" t="s">
        <v>22</v>
      </c>
      <c r="I68" t="s">
        <v>23</v>
      </c>
      <c r="J68" t="s">
        <v>242</v>
      </c>
      <c r="K68" t="s">
        <v>322</v>
      </c>
      <c r="L68">
        <v>0</v>
      </c>
      <c r="M68">
        <v>1237</v>
      </c>
      <c r="N68">
        <v>35000</v>
      </c>
      <c r="O68">
        <v>32.488638999999999</v>
      </c>
      <c r="P68">
        <v>35.881388999999999</v>
      </c>
      <c r="Q68" t="s">
        <v>323</v>
      </c>
      <c r="S68" t="s">
        <v>1776</v>
      </c>
      <c r="U68" t="s">
        <v>1899</v>
      </c>
      <c r="W68" t="s">
        <v>324</v>
      </c>
      <c r="Y68" t="str">
        <f t="shared" si="4"/>
        <v/>
      </c>
      <c r="Z68" t="str">
        <f t="shared" si="5"/>
        <v/>
      </c>
      <c r="AA68" t="str">
        <f>IF(NOT("https://maps.app.goo.gl/rD2UqL6Pq2Rt6Qo18" = ""), HYPERLINK("https://maps.app.goo.gl/rD2UqL6Pq2Rt6Qo18", "موقع"), "")</f>
        <v>موقع</v>
      </c>
    </row>
    <row r="69" spans="1:27" x14ac:dyDescent="0.3">
      <c r="A69" t="s">
        <v>325</v>
      </c>
      <c r="B69" s="1">
        <v>46182.512789351851</v>
      </c>
      <c r="C69" t="s">
        <v>1</v>
      </c>
      <c r="D69" t="s">
        <v>281</v>
      </c>
      <c r="E69" t="s">
        <v>306</v>
      </c>
      <c r="F69" t="s">
        <v>1900</v>
      </c>
      <c r="G69" t="s">
        <v>262</v>
      </c>
      <c r="H69" t="s">
        <v>22</v>
      </c>
      <c r="I69" t="s">
        <v>23</v>
      </c>
      <c r="J69" t="s">
        <v>305</v>
      </c>
      <c r="K69" t="s">
        <v>119</v>
      </c>
      <c r="L69">
        <v>0</v>
      </c>
      <c r="M69">
        <v>730</v>
      </c>
      <c r="N69">
        <v>38000</v>
      </c>
      <c r="O69">
        <v>32.594082999999998</v>
      </c>
      <c r="P69">
        <v>35.884082999999997</v>
      </c>
      <c r="Q69" t="s">
        <v>326</v>
      </c>
      <c r="S69" t="s">
        <v>1776</v>
      </c>
      <c r="U69" t="s">
        <v>1901</v>
      </c>
      <c r="W69" t="s">
        <v>327</v>
      </c>
      <c r="Y69" t="str">
        <f t="shared" si="4"/>
        <v/>
      </c>
      <c r="Z69" t="str">
        <f t="shared" si="5"/>
        <v/>
      </c>
      <c r="AA69" t="str">
        <f>IF(NOT("https://maps.app.goo.gl/3iiVvKGC3G4U5yro8" = ""), HYPERLINK("https://maps.app.goo.gl/3iiVvKGC3G4U5yro8", "موقع"), "")</f>
        <v>موقع</v>
      </c>
    </row>
    <row r="70" spans="1:27" x14ac:dyDescent="0.3">
      <c r="A70" t="s">
        <v>328</v>
      </c>
      <c r="B70" s="1">
        <v>46182.512789351851</v>
      </c>
      <c r="C70" t="s">
        <v>1</v>
      </c>
      <c r="D70" t="s">
        <v>281</v>
      </c>
      <c r="E70" t="s">
        <v>329</v>
      </c>
      <c r="F70" t="s">
        <v>1902</v>
      </c>
      <c r="G70" t="s">
        <v>262</v>
      </c>
      <c r="H70" t="s">
        <v>22</v>
      </c>
      <c r="I70" t="s">
        <v>23</v>
      </c>
      <c r="J70" t="s">
        <v>24</v>
      </c>
      <c r="K70" t="s">
        <v>132</v>
      </c>
      <c r="L70">
        <v>0</v>
      </c>
      <c r="M70">
        <v>866</v>
      </c>
      <c r="N70">
        <v>45000</v>
      </c>
      <c r="O70">
        <v>32.549166999999997</v>
      </c>
      <c r="P70">
        <v>35.842666999999999</v>
      </c>
      <c r="Q70" t="s">
        <v>330</v>
      </c>
      <c r="S70" t="s">
        <v>1776</v>
      </c>
      <c r="U70" t="s">
        <v>1903</v>
      </c>
      <c r="W70" t="s">
        <v>331</v>
      </c>
      <c r="Y70" t="str">
        <f t="shared" si="4"/>
        <v/>
      </c>
      <c r="Z70" t="str">
        <f t="shared" si="5"/>
        <v/>
      </c>
      <c r="AA70" t="str">
        <f>IF(NOT("https://maps.app.goo.gl/GXBMJhyKyLMJtcxM7" = ""), HYPERLINK("https://maps.app.goo.gl/GXBMJhyKyLMJtcxM7", "موقع"), "")</f>
        <v>موقع</v>
      </c>
    </row>
    <row r="71" spans="1:27" x14ac:dyDescent="0.3">
      <c r="A71" t="s">
        <v>332</v>
      </c>
      <c r="B71" s="1">
        <v>46182.512789351851</v>
      </c>
      <c r="C71" t="s">
        <v>1</v>
      </c>
      <c r="D71" t="s">
        <v>281</v>
      </c>
      <c r="E71" t="s">
        <v>335</v>
      </c>
      <c r="F71" t="s">
        <v>1904</v>
      </c>
      <c r="G71" t="s">
        <v>262</v>
      </c>
      <c r="H71" t="s">
        <v>22</v>
      </c>
      <c r="I71" t="s">
        <v>23</v>
      </c>
      <c r="J71" t="s">
        <v>333</v>
      </c>
      <c r="K71" t="s">
        <v>334</v>
      </c>
      <c r="L71">
        <v>0</v>
      </c>
      <c r="M71">
        <v>162</v>
      </c>
      <c r="N71">
        <v>50000</v>
      </c>
      <c r="Q71" t="s">
        <v>336</v>
      </c>
      <c r="S71" t="s">
        <v>1776</v>
      </c>
      <c r="W71" t="s">
        <v>337</v>
      </c>
      <c r="Y71" t="str">
        <f t="shared" si="4"/>
        <v/>
      </c>
      <c r="Z71" t="str">
        <f t="shared" si="5"/>
        <v/>
      </c>
      <c r="AA71" t="str">
        <f>IF(NOT("" = ""), HYPERLINK("", "موقع"), "")</f>
        <v/>
      </c>
    </row>
    <row r="72" spans="1:27" x14ac:dyDescent="0.3">
      <c r="A72" t="s">
        <v>338</v>
      </c>
      <c r="B72" s="1">
        <v>46182.512789351851</v>
      </c>
      <c r="C72" t="s">
        <v>1</v>
      </c>
      <c r="D72" t="s">
        <v>281</v>
      </c>
      <c r="E72" t="s">
        <v>57</v>
      </c>
      <c r="F72" t="s">
        <v>1905</v>
      </c>
      <c r="G72" t="s">
        <v>262</v>
      </c>
      <c r="H72" t="s">
        <v>22</v>
      </c>
      <c r="I72" t="s">
        <v>23</v>
      </c>
      <c r="J72" t="s">
        <v>55</v>
      </c>
      <c r="K72" t="s">
        <v>61</v>
      </c>
      <c r="L72">
        <v>0</v>
      </c>
      <c r="M72">
        <v>2453</v>
      </c>
      <c r="N72">
        <v>50000</v>
      </c>
      <c r="O72">
        <v>32.557194000000003</v>
      </c>
      <c r="P72">
        <v>35.835028000000001</v>
      </c>
      <c r="Q72" t="s">
        <v>339</v>
      </c>
      <c r="S72" t="s">
        <v>1776</v>
      </c>
      <c r="U72" t="s">
        <v>1906</v>
      </c>
      <c r="W72" t="s">
        <v>340</v>
      </c>
      <c r="Y72" t="str">
        <f t="shared" si="4"/>
        <v/>
      </c>
      <c r="Z72" t="str">
        <f t="shared" si="5"/>
        <v/>
      </c>
      <c r="AA72" t="str">
        <f>IF(NOT("https://maps.app.goo.gl/AR3euAiFSyfgJSAs9" = ""), HYPERLINK("https://maps.app.goo.gl/AR3euAiFSyfgJSAs9", "موقع"), "")</f>
        <v>موقع</v>
      </c>
    </row>
    <row r="73" spans="1:27" x14ac:dyDescent="0.3">
      <c r="A73" t="s">
        <v>341</v>
      </c>
      <c r="B73" s="1">
        <v>46182.512789351851</v>
      </c>
      <c r="C73" t="s">
        <v>1</v>
      </c>
      <c r="D73" t="s">
        <v>281</v>
      </c>
      <c r="E73" t="s">
        <v>344</v>
      </c>
      <c r="F73" t="s">
        <v>1907</v>
      </c>
      <c r="G73" t="s">
        <v>262</v>
      </c>
      <c r="H73" t="s">
        <v>22</v>
      </c>
      <c r="I73" t="s">
        <v>23</v>
      </c>
      <c r="J73" t="s">
        <v>342</v>
      </c>
      <c r="K73" t="s">
        <v>343</v>
      </c>
      <c r="L73">
        <v>0</v>
      </c>
      <c r="M73">
        <v>63</v>
      </c>
      <c r="N73">
        <v>55000</v>
      </c>
      <c r="O73">
        <v>32.596944000000001</v>
      </c>
      <c r="P73">
        <v>35.717472000000001</v>
      </c>
      <c r="Q73" t="s">
        <v>345</v>
      </c>
      <c r="S73" t="s">
        <v>1776</v>
      </c>
      <c r="U73" t="s">
        <v>1908</v>
      </c>
      <c r="W73" t="s">
        <v>346</v>
      </c>
      <c r="Y73" t="str">
        <f t="shared" si="4"/>
        <v/>
      </c>
      <c r="Z73" t="str">
        <f t="shared" si="5"/>
        <v/>
      </c>
      <c r="AA73" t="str">
        <f>IF(NOT("https://maps.app.goo.gl/DtXyaiEjRb94M7aw7" = ""), HYPERLINK("https://maps.app.goo.gl/DtXyaiEjRb94M7aw7", "موقع"), "")</f>
        <v>موقع</v>
      </c>
    </row>
    <row r="74" spans="1:27" x14ac:dyDescent="0.3">
      <c r="A74" t="s">
        <v>347</v>
      </c>
      <c r="B74" s="1">
        <v>46182.512789351851</v>
      </c>
      <c r="C74" t="s">
        <v>1</v>
      </c>
      <c r="D74" t="s">
        <v>281</v>
      </c>
      <c r="E74" t="s">
        <v>329</v>
      </c>
      <c r="F74" t="s">
        <v>1909</v>
      </c>
      <c r="G74" t="s">
        <v>262</v>
      </c>
      <c r="H74" t="s">
        <v>22</v>
      </c>
      <c r="I74" t="s">
        <v>23</v>
      </c>
      <c r="J74" t="s">
        <v>24</v>
      </c>
      <c r="K74" t="s">
        <v>348</v>
      </c>
      <c r="L74">
        <v>0</v>
      </c>
      <c r="M74">
        <v>1445</v>
      </c>
      <c r="N74">
        <v>55000</v>
      </c>
      <c r="O74">
        <v>32.548138999999999</v>
      </c>
      <c r="P74">
        <v>35.846443999999998</v>
      </c>
      <c r="Q74" t="s">
        <v>349</v>
      </c>
      <c r="S74" t="s">
        <v>1776</v>
      </c>
      <c r="U74" t="s">
        <v>1910</v>
      </c>
      <c r="W74" t="s">
        <v>350</v>
      </c>
      <c r="Y74" t="str">
        <f t="shared" si="4"/>
        <v/>
      </c>
      <c r="Z74" t="str">
        <f t="shared" si="5"/>
        <v/>
      </c>
      <c r="AA74" t="str">
        <f>IF(NOT("https://maps.app.goo.gl/LzgdCzGhRyhhgWh18" = ""), HYPERLINK("https://maps.app.goo.gl/LzgdCzGhRyhhgWh18", "موقع"), "")</f>
        <v>موقع</v>
      </c>
    </row>
    <row r="75" spans="1:27" x14ac:dyDescent="0.3">
      <c r="A75" t="s">
        <v>351</v>
      </c>
      <c r="B75" s="1">
        <v>46182.512789351851</v>
      </c>
      <c r="C75" t="s">
        <v>1</v>
      </c>
      <c r="D75" t="s">
        <v>281</v>
      </c>
      <c r="E75" t="s">
        <v>272</v>
      </c>
      <c r="F75" t="s">
        <v>1911</v>
      </c>
      <c r="G75" t="s">
        <v>262</v>
      </c>
      <c r="H75" t="s">
        <v>22</v>
      </c>
      <c r="I75" t="s">
        <v>177</v>
      </c>
      <c r="J75" t="s">
        <v>270</v>
      </c>
      <c r="K75" t="s">
        <v>352</v>
      </c>
      <c r="L75">
        <v>0</v>
      </c>
      <c r="M75">
        <v>67</v>
      </c>
      <c r="N75">
        <v>75000</v>
      </c>
      <c r="O75">
        <v>32.597110999999998</v>
      </c>
      <c r="P75">
        <v>36.000889000000001</v>
      </c>
      <c r="Q75" t="s">
        <v>353</v>
      </c>
      <c r="S75" t="s">
        <v>1776</v>
      </c>
      <c r="U75" t="s">
        <v>1912</v>
      </c>
      <c r="W75" t="s">
        <v>354</v>
      </c>
      <c r="Y75" t="str">
        <f t="shared" si="4"/>
        <v/>
      </c>
      <c r="Z75" t="str">
        <f t="shared" si="5"/>
        <v/>
      </c>
      <c r="AA75" t="str">
        <f>IF(NOT("https://maps.app.goo.gl/rWMU2WF1wwsE75ZF8" = ""), HYPERLINK("https://maps.app.goo.gl/rWMU2WF1wwsE75ZF8", "موقع"), "")</f>
        <v>موقع</v>
      </c>
    </row>
    <row r="76" spans="1:27" x14ac:dyDescent="0.3">
      <c r="A76" t="s">
        <v>355</v>
      </c>
      <c r="B76" s="1">
        <v>46182.512789351851</v>
      </c>
      <c r="C76" t="s">
        <v>1</v>
      </c>
      <c r="D76" t="s">
        <v>281</v>
      </c>
      <c r="E76" t="s">
        <v>244</v>
      </c>
      <c r="F76" t="s">
        <v>1913</v>
      </c>
      <c r="G76" t="s">
        <v>262</v>
      </c>
      <c r="H76" t="s">
        <v>22</v>
      </c>
      <c r="I76" t="s">
        <v>23</v>
      </c>
      <c r="J76" t="s">
        <v>242</v>
      </c>
      <c r="K76" t="s">
        <v>356</v>
      </c>
      <c r="L76">
        <v>0</v>
      </c>
      <c r="M76">
        <v>823</v>
      </c>
      <c r="N76">
        <v>92000</v>
      </c>
      <c r="O76">
        <v>32.473472000000001</v>
      </c>
      <c r="P76">
        <v>35.900582999999997</v>
      </c>
      <c r="Q76" t="s">
        <v>357</v>
      </c>
      <c r="S76" t="s">
        <v>1776</v>
      </c>
      <c r="U76" t="s">
        <v>1914</v>
      </c>
      <c r="W76" t="s">
        <v>358</v>
      </c>
      <c r="Y76" t="str">
        <f t="shared" si="4"/>
        <v/>
      </c>
      <c r="Z76" t="str">
        <f t="shared" si="5"/>
        <v/>
      </c>
      <c r="AA76" t="str">
        <f>IF(NOT("https://maps.app.goo.gl/STWRURofdNRi6aNY7" = ""), HYPERLINK("https://maps.app.goo.gl/STWRURofdNRi6aNY7", "موقع"), "")</f>
        <v>موقع</v>
      </c>
    </row>
    <row r="77" spans="1:27" x14ac:dyDescent="0.3">
      <c r="A77" t="s">
        <v>359</v>
      </c>
      <c r="B77" s="1">
        <v>46182.512789351851</v>
      </c>
      <c r="C77" t="s">
        <v>1</v>
      </c>
      <c r="D77" t="s">
        <v>281</v>
      </c>
      <c r="E77" t="s">
        <v>26</v>
      </c>
      <c r="F77" t="s">
        <v>1915</v>
      </c>
      <c r="G77" t="s">
        <v>262</v>
      </c>
      <c r="H77" t="s">
        <v>22</v>
      </c>
      <c r="I77" t="s">
        <v>23</v>
      </c>
      <c r="J77" t="s">
        <v>24</v>
      </c>
      <c r="K77" t="s">
        <v>360</v>
      </c>
      <c r="L77">
        <v>0</v>
      </c>
      <c r="M77">
        <v>1180</v>
      </c>
      <c r="N77">
        <v>105000</v>
      </c>
      <c r="O77">
        <v>32.5595</v>
      </c>
      <c r="P77">
        <v>35.856000000000002</v>
      </c>
      <c r="Q77" t="s">
        <v>361</v>
      </c>
      <c r="S77" t="s">
        <v>1776</v>
      </c>
      <c r="U77" t="s">
        <v>1916</v>
      </c>
      <c r="W77" t="s">
        <v>362</v>
      </c>
      <c r="Y77" t="str">
        <f t="shared" si="4"/>
        <v/>
      </c>
      <c r="Z77" t="str">
        <f t="shared" si="5"/>
        <v/>
      </c>
      <c r="AA77" t="str">
        <f>IF(NOT("https://maps.app.goo.gl/nkSWqjCQP3hoZy576" = ""), HYPERLINK("https://maps.app.goo.gl/nkSWqjCQP3hoZy576", "موقع"), "")</f>
        <v>موقع</v>
      </c>
    </row>
    <row r="78" spans="1:27" x14ac:dyDescent="0.3">
      <c r="A78" t="s">
        <v>363</v>
      </c>
      <c r="B78" s="1">
        <v>46182.512789351851</v>
      </c>
      <c r="C78" t="s">
        <v>1</v>
      </c>
      <c r="D78" t="s">
        <v>281</v>
      </c>
      <c r="E78" t="s">
        <v>365</v>
      </c>
      <c r="F78" t="s">
        <v>1917</v>
      </c>
      <c r="G78" t="s">
        <v>262</v>
      </c>
      <c r="H78" t="s">
        <v>22</v>
      </c>
      <c r="I78" t="s">
        <v>177</v>
      </c>
      <c r="J78" t="s">
        <v>270</v>
      </c>
      <c r="K78" t="s">
        <v>364</v>
      </c>
      <c r="L78">
        <v>0</v>
      </c>
      <c r="M78">
        <v>43</v>
      </c>
      <c r="N78">
        <v>106000</v>
      </c>
      <c r="Q78" t="s">
        <v>366</v>
      </c>
      <c r="S78" t="s">
        <v>1776</v>
      </c>
      <c r="W78" t="s">
        <v>367</v>
      </c>
      <c r="Y78" t="str">
        <f t="shared" si="4"/>
        <v/>
      </c>
      <c r="Z78" t="str">
        <f t="shared" si="5"/>
        <v/>
      </c>
      <c r="AA78" t="str">
        <f>IF(NOT("" = ""), HYPERLINK("", "موقع"), "")</f>
        <v/>
      </c>
    </row>
    <row r="79" spans="1:27" x14ac:dyDescent="0.3">
      <c r="A79" t="s">
        <v>368</v>
      </c>
      <c r="B79" s="1">
        <v>46182.512789351851</v>
      </c>
      <c r="C79" t="s">
        <v>1</v>
      </c>
      <c r="D79" t="s">
        <v>281</v>
      </c>
      <c r="E79" t="s">
        <v>159</v>
      </c>
      <c r="F79" t="s">
        <v>1918</v>
      </c>
      <c r="G79" t="s">
        <v>262</v>
      </c>
      <c r="H79" t="s">
        <v>22</v>
      </c>
      <c r="I79" t="s">
        <v>23</v>
      </c>
      <c r="J79" t="s">
        <v>24</v>
      </c>
      <c r="K79" t="s">
        <v>158</v>
      </c>
      <c r="L79">
        <v>0</v>
      </c>
      <c r="M79">
        <v>725</v>
      </c>
      <c r="N79">
        <v>118000</v>
      </c>
      <c r="O79">
        <v>32.545749999999998</v>
      </c>
      <c r="P79">
        <v>35.865471999999997</v>
      </c>
      <c r="Q79" t="s">
        <v>369</v>
      </c>
      <c r="S79" t="s">
        <v>1776</v>
      </c>
      <c r="U79" t="s">
        <v>1919</v>
      </c>
      <c r="W79" t="s">
        <v>370</v>
      </c>
      <c r="Y79" t="str">
        <f t="shared" si="4"/>
        <v/>
      </c>
      <c r="Z79" t="str">
        <f t="shared" si="5"/>
        <v/>
      </c>
      <c r="AA79" t="str">
        <f>IF(NOT("https://maps.app.goo.gl/Ajg2cXekAKXmXFrH7" = ""), HYPERLINK("https://maps.app.goo.gl/Ajg2cXekAKXmXFrH7", "موقع"), "")</f>
        <v>موقع</v>
      </c>
    </row>
    <row r="80" spans="1:27" x14ac:dyDescent="0.3">
      <c r="A80" t="s">
        <v>371</v>
      </c>
      <c r="B80" s="1">
        <v>46182.512789351851</v>
      </c>
      <c r="C80" t="s">
        <v>1</v>
      </c>
      <c r="D80" t="s">
        <v>281</v>
      </c>
      <c r="E80" t="s">
        <v>272</v>
      </c>
      <c r="F80" t="s">
        <v>1920</v>
      </c>
      <c r="G80" t="s">
        <v>262</v>
      </c>
      <c r="H80" t="s">
        <v>22</v>
      </c>
      <c r="I80" t="s">
        <v>177</v>
      </c>
      <c r="J80" t="s">
        <v>270</v>
      </c>
      <c r="K80" t="s">
        <v>372</v>
      </c>
      <c r="L80">
        <v>0</v>
      </c>
      <c r="M80">
        <v>573</v>
      </c>
      <c r="N80">
        <v>185000</v>
      </c>
      <c r="O80">
        <v>32.553417000000003</v>
      </c>
      <c r="P80">
        <v>35.994917000000001</v>
      </c>
      <c r="Q80" t="s">
        <v>373</v>
      </c>
      <c r="S80" t="s">
        <v>1776</v>
      </c>
      <c r="U80" t="s">
        <v>1921</v>
      </c>
      <c r="W80" t="s">
        <v>374</v>
      </c>
      <c r="Y80" t="str">
        <f t="shared" si="4"/>
        <v/>
      </c>
      <c r="Z80" t="str">
        <f t="shared" si="5"/>
        <v/>
      </c>
      <c r="AA80" t="str">
        <f>IF(NOT("https://maps.app.goo.gl/yDfoGpQw5inuowEEA" = ""), HYPERLINK("https://maps.app.goo.gl/yDfoGpQw5inuowEEA", "موقع"), "")</f>
        <v>موقع</v>
      </c>
    </row>
    <row r="81" spans="1:27" x14ac:dyDescent="0.3">
      <c r="A81" t="s">
        <v>375</v>
      </c>
      <c r="B81" s="1">
        <v>46182.512789351851</v>
      </c>
      <c r="C81" t="s">
        <v>1</v>
      </c>
      <c r="D81" t="s">
        <v>281</v>
      </c>
      <c r="E81" t="s">
        <v>376</v>
      </c>
      <c r="F81" t="s">
        <v>1922</v>
      </c>
      <c r="G81" t="s">
        <v>262</v>
      </c>
      <c r="H81" t="s">
        <v>22</v>
      </c>
      <c r="I81" t="s">
        <v>23</v>
      </c>
      <c r="J81" t="s">
        <v>24</v>
      </c>
      <c r="K81" t="s">
        <v>232</v>
      </c>
      <c r="L81">
        <v>0</v>
      </c>
      <c r="M81">
        <v>916</v>
      </c>
      <c r="N81">
        <v>321000</v>
      </c>
      <c r="O81">
        <v>32.556556</v>
      </c>
      <c r="P81">
        <v>35.872388999999998</v>
      </c>
      <c r="Q81" t="s">
        <v>377</v>
      </c>
      <c r="R81" t="s">
        <v>1923</v>
      </c>
      <c r="S81" t="s">
        <v>1828</v>
      </c>
      <c r="T81" t="s">
        <v>1924</v>
      </c>
      <c r="U81" t="s">
        <v>1925</v>
      </c>
      <c r="W81" t="s">
        <v>378</v>
      </c>
      <c r="Y81" t="str">
        <f t="shared" si="4"/>
        <v/>
      </c>
      <c r="Z81" t="str">
        <f>IF(NOT("https://truemarkets3d.net/3d-virtual-tour/housingbank-realestate/phase3/aq-bld-100175/index.html" = ""), HYPERLINK("https://truemarkets3d.net/3d-virtual-tour/housingbank-realestate/phase3/aq-bld-100175/index.html", "جولة"), "")</f>
        <v>جولة</v>
      </c>
      <c r="AA81" t="str">
        <f>IF(NOT("https://maps.app.goo.gl/7mzbgBp7QAgt2Bbo8" = ""), HYPERLINK("https://maps.app.goo.gl/7mzbgBp7QAgt2Bbo8", "موقع"), "")</f>
        <v>موقع</v>
      </c>
    </row>
    <row r="82" spans="1:27" x14ac:dyDescent="0.3">
      <c r="A82" t="s">
        <v>379</v>
      </c>
      <c r="B82" s="1">
        <v>46182.512789351851</v>
      </c>
      <c r="C82" t="s">
        <v>1</v>
      </c>
      <c r="D82" t="s">
        <v>380</v>
      </c>
      <c r="E82" t="s">
        <v>272</v>
      </c>
      <c r="F82" t="s">
        <v>1926</v>
      </c>
      <c r="G82" t="s">
        <v>262</v>
      </c>
      <c r="H82" t="s">
        <v>22</v>
      </c>
      <c r="I82" t="s">
        <v>177</v>
      </c>
      <c r="J82" t="s">
        <v>270</v>
      </c>
      <c r="K82" t="s">
        <v>381</v>
      </c>
      <c r="M82">
        <v>512</v>
      </c>
      <c r="N82">
        <v>391000</v>
      </c>
      <c r="O82">
        <v>32.544083000000001</v>
      </c>
      <c r="P82">
        <v>36.011972</v>
      </c>
      <c r="Q82" t="s">
        <v>382</v>
      </c>
      <c r="S82" t="s">
        <v>1776</v>
      </c>
      <c r="U82" t="s">
        <v>1927</v>
      </c>
      <c r="W82" t="s">
        <v>383</v>
      </c>
      <c r="Y82" t="str">
        <f t="shared" si="4"/>
        <v/>
      </c>
      <c r="Z82" t="str">
        <f>IF(NOT("" = ""), HYPERLINK("", "جولة"), "")</f>
        <v/>
      </c>
      <c r="AA82" t="str">
        <f>IF(NOT("https://maps.app.goo.gl/P22nSAKpY1y173fX9" = ""), HYPERLINK("https://maps.app.goo.gl/P22nSAKpY1y173fX9", "موقع"), "")</f>
        <v>موقع</v>
      </c>
    </row>
    <row r="83" spans="1:27" x14ac:dyDescent="0.3">
      <c r="A83" t="s">
        <v>384</v>
      </c>
      <c r="B83" s="1">
        <v>46182.512789351851</v>
      </c>
      <c r="C83" t="s">
        <v>1</v>
      </c>
      <c r="D83" t="s">
        <v>385</v>
      </c>
      <c r="E83" t="s">
        <v>335</v>
      </c>
      <c r="F83" t="s">
        <v>1928</v>
      </c>
      <c r="G83" t="s">
        <v>262</v>
      </c>
      <c r="H83" t="s">
        <v>22</v>
      </c>
      <c r="I83" t="s">
        <v>23</v>
      </c>
      <c r="J83" t="s">
        <v>333</v>
      </c>
      <c r="K83" t="s">
        <v>386</v>
      </c>
      <c r="L83">
        <v>0</v>
      </c>
      <c r="M83">
        <v>68</v>
      </c>
      <c r="N83">
        <v>217000</v>
      </c>
      <c r="O83">
        <v>32.426082999999998</v>
      </c>
      <c r="P83">
        <v>35.887611</v>
      </c>
      <c r="Q83" t="s">
        <v>387</v>
      </c>
      <c r="R83" t="s">
        <v>1929</v>
      </c>
      <c r="S83" t="s">
        <v>1828</v>
      </c>
      <c r="T83" t="s">
        <v>1930</v>
      </c>
      <c r="U83" t="s">
        <v>1931</v>
      </c>
      <c r="W83" t="s">
        <v>388</v>
      </c>
      <c r="Y83" t="str">
        <f t="shared" si="4"/>
        <v/>
      </c>
      <c r="Z83" t="str">
        <f>IF(NOT("https://truemarkets3d.net/3d-virtual-tour/housingbank-realestate/phase3/aq-bld-1002151/index.html" = ""), HYPERLINK("https://truemarkets3d.net/3d-virtual-tour/housingbank-realestate/phase3/aq-bld-1002151/index.html", "جولة"), "")</f>
        <v>جولة</v>
      </c>
      <c r="AA83" t="str">
        <f>IF(NOT("https://maps.app.goo.gl/eBPzDJAw2Gem5hgY8" = ""), HYPERLINK("https://maps.app.goo.gl/eBPzDJAw2Gem5hgY8", "موقع"), "")</f>
        <v>موقع</v>
      </c>
    </row>
    <row r="84" spans="1:27" x14ac:dyDescent="0.3">
      <c r="A84" t="s">
        <v>389</v>
      </c>
      <c r="B84" s="1">
        <v>46182.512789351851</v>
      </c>
      <c r="C84" t="s">
        <v>1</v>
      </c>
      <c r="D84" t="s">
        <v>391</v>
      </c>
      <c r="E84" t="s">
        <v>394</v>
      </c>
      <c r="F84" t="s">
        <v>1932</v>
      </c>
      <c r="G84" t="s">
        <v>390</v>
      </c>
      <c r="H84" t="s">
        <v>22</v>
      </c>
      <c r="I84" t="s">
        <v>111</v>
      </c>
      <c r="J84" t="s">
        <v>392</v>
      </c>
      <c r="K84" t="s">
        <v>393</v>
      </c>
      <c r="L84">
        <v>0</v>
      </c>
      <c r="M84">
        <v>215</v>
      </c>
      <c r="N84">
        <v>4000</v>
      </c>
      <c r="O84">
        <v>32.677917000000001</v>
      </c>
      <c r="P84">
        <v>35.680444000000001</v>
      </c>
      <c r="Q84" t="s">
        <v>395</v>
      </c>
      <c r="S84" t="s">
        <v>1776</v>
      </c>
      <c r="T84" t="s">
        <v>1933</v>
      </c>
      <c r="U84" t="s">
        <v>1934</v>
      </c>
      <c r="W84" t="s">
        <v>396</v>
      </c>
      <c r="Y84" t="str">
        <f t="shared" si="4"/>
        <v/>
      </c>
      <c r="Z84" t="str">
        <f>IF(NOT("" = ""), HYPERLINK("", "جولة"), "")</f>
        <v/>
      </c>
      <c r="AA84" t="str">
        <f>IF(NOT("https://maps.app.goo.gl/dpR5Bfw38M44h4Xm8" = ""), HYPERLINK("https://maps.app.goo.gl/dpR5Bfw38M44h4Xm8", "موقع"), "")</f>
        <v>موقع</v>
      </c>
    </row>
    <row r="85" spans="1:27" x14ac:dyDescent="0.3">
      <c r="A85" t="s">
        <v>397</v>
      </c>
      <c r="B85" s="1">
        <v>46182.512789351851</v>
      </c>
      <c r="C85" t="s">
        <v>1</v>
      </c>
      <c r="D85" t="s">
        <v>391</v>
      </c>
      <c r="E85" t="s">
        <v>400</v>
      </c>
      <c r="F85" t="s">
        <v>1935</v>
      </c>
      <c r="G85" t="s">
        <v>390</v>
      </c>
      <c r="H85" t="s">
        <v>22</v>
      </c>
      <c r="I85" t="s">
        <v>23</v>
      </c>
      <c r="J85" t="s">
        <v>398</v>
      </c>
      <c r="K85" t="s">
        <v>399</v>
      </c>
      <c r="L85">
        <v>0</v>
      </c>
      <c r="M85">
        <v>197</v>
      </c>
      <c r="N85">
        <v>20000</v>
      </c>
      <c r="O85">
        <v>32.531694000000002</v>
      </c>
      <c r="P85">
        <v>35.771082999999997</v>
      </c>
      <c r="Q85" t="s">
        <v>401</v>
      </c>
      <c r="S85" t="s">
        <v>1776</v>
      </c>
      <c r="T85" t="s">
        <v>1936</v>
      </c>
      <c r="U85" t="s">
        <v>1937</v>
      </c>
      <c r="W85" t="s">
        <v>402</v>
      </c>
      <c r="Y85" t="str">
        <f t="shared" si="4"/>
        <v/>
      </c>
      <c r="Z85" t="str">
        <f>IF(NOT("" = ""), HYPERLINK("", "جولة"), "")</f>
        <v/>
      </c>
      <c r="AA85" t="str">
        <f>IF(NOT("https://maps.app.goo.gl/nUG5J3zE6ENvjhgFA" = ""), HYPERLINK("https://maps.app.goo.gl/nUG5J3zE6ENvjhgFA", "موقع"), "")</f>
        <v>موقع</v>
      </c>
    </row>
    <row r="86" spans="1:27" x14ac:dyDescent="0.3">
      <c r="A86" t="s">
        <v>403</v>
      </c>
      <c r="B86" s="1">
        <v>46182.512789351851</v>
      </c>
      <c r="C86" t="s">
        <v>1</v>
      </c>
      <c r="D86" t="s">
        <v>391</v>
      </c>
      <c r="E86" t="s">
        <v>400</v>
      </c>
      <c r="F86" t="s">
        <v>1938</v>
      </c>
      <c r="G86" t="s">
        <v>390</v>
      </c>
      <c r="H86" t="s">
        <v>22</v>
      </c>
      <c r="I86" t="s">
        <v>23</v>
      </c>
      <c r="J86" t="s">
        <v>398</v>
      </c>
      <c r="K86" t="s">
        <v>399</v>
      </c>
      <c r="L86">
        <v>0</v>
      </c>
      <c r="M86">
        <v>114</v>
      </c>
      <c r="N86">
        <v>42000</v>
      </c>
      <c r="O86">
        <v>32.532499999999999</v>
      </c>
      <c r="P86">
        <v>35.770667000000003</v>
      </c>
      <c r="Q86" t="s">
        <v>404</v>
      </c>
      <c r="S86" t="s">
        <v>1776</v>
      </c>
      <c r="T86" t="s">
        <v>1939</v>
      </c>
      <c r="U86" t="s">
        <v>1940</v>
      </c>
      <c r="W86" t="s">
        <v>405</v>
      </c>
      <c r="Y86" t="str">
        <f t="shared" si="4"/>
        <v/>
      </c>
      <c r="Z86" t="str">
        <f>IF(NOT("" = ""), HYPERLINK("", "جولة"), "")</f>
        <v/>
      </c>
      <c r="AA86" t="str">
        <f>IF(NOT("https://maps.app.goo.gl/MCYQqVTiARQ5qSDFA" = ""), HYPERLINK("https://maps.app.goo.gl/MCYQqVTiARQ5qSDFA", "موقع"), "")</f>
        <v>موقع</v>
      </c>
    </row>
    <row r="87" spans="1:27" x14ac:dyDescent="0.3">
      <c r="A87" t="s">
        <v>406</v>
      </c>
      <c r="B87" s="1">
        <v>46182.512789351851</v>
      </c>
      <c r="C87" t="s">
        <v>1</v>
      </c>
      <c r="D87" t="s">
        <v>391</v>
      </c>
      <c r="E87" t="s">
        <v>408</v>
      </c>
      <c r="F87" t="s">
        <v>1941</v>
      </c>
      <c r="G87" t="s">
        <v>390</v>
      </c>
      <c r="H87" t="s">
        <v>22</v>
      </c>
      <c r="I87" t="s">
        <v>23</v>
      </c>
      <c r="J87" t="s">
        <v>24</v>
      </c>
      <c r="K87" t="s">
        <v>407</v>
      </c>
      <c r="L87">
        <v>0</v>
      </c>
      <c r="M87">
        <v>743</v>
      </c>
      <c r="N87">
        <v>51000</v>
      </c>
      <c r="O87">
        <v>32.545971999999999</v>
      </c>
      <c r="P87">
        <v>35.825972</v>
      </c>
      <c r="Q87" t="s">
        <v>409</v>
      </c>
      <c r="S87" t="s">
        <v>1776</v>
      </c>
      <c r="U87" t="s">
        <v>1942</v>
      </c>
      <c r="W87" t="s">
        <v>410</v>
      </c>
      <c r="Y87" t="str">
        <f t="shared" si="4"/>
        <v/>
      </c>
      <c r="Z87" t="str">
        <f>IF(NOT("" = ""), HYPERLINK("", "جولة"), "")</f>
        <v/>
      </c>
      <c r="AA87" t="str">
        <f>IF(NOT("https://maps.app.goo.gl/mPQUN4L9nYnxsqxg7" = ""), HYPERLINK("https://maps.app.goo.gl/mPQUN4L9nYnxsqxg7", "موقع"), "")</f>
        <v>موقع</v>
      </c>
    </row>
    <row r="88" spans="1:27" x14ac:dyDescent="0.3">
      <c r="A88" t="s">
        <v>411</v>
      </c>
      <c r="B88" s="1">
        <v>46182.512789351851</v>
      </c>
      <c r="C88" t="s">
        <v>1</v>
      </c>
      <c r="D88" t="s">
        <v>391</v>
      </c>
      <c r="E88" t="s">
        <v>49</v>
      </c>
      <c r="F88" t="s">
        <v>1943</v>
      </c>
      <c r="G88" t="s">
        <v>390</v>
      </c>
      <c r="H88" t="s">
        <v>22</v>
      </c>
      <c r="I88" t="s">
        <v>46</v>
      </c>
      <c r="J88" t="s">
        <v>412</v>
      </c>
      <c r="K88" t="s">
        <v>413</v>
      </c>
      <c r="L88">
        <v>0</v>
      </c>
      <c r="M88">
        <v>175</v>
      </c>
      <c r="N88">
        <v>120000</v>
      </c>
      <c r="O88">
        <v>32.492249999999999</v>
      </c>
      <c r="P88">
        <v>35.679499999999997</v>
      </c>
      <c r="Q88" t="s">
        <v>414</v>
      </c>
      <c r="R88" t="s">
        <v>1944</v>
      </c>
      <c r="S88" t="s">
        <v>1828</v>
      </c>
      <c r="T88" t="s">
        <v>1945</v>
      </c>
      <c r="U88" t="s">
        <v>1946</v>
      </c>
      <c r="W88" t="s">
        <v>415</v>
      </c>
      <c r="Y88" t="str">
        <f t="shared" si="4"/>
        <v/>
      </c>
      <c r="Z88" t="str">
        <f>IF(NOT("https://truemarkets3d.net/3d-virtual-tour/housingbank-realestate/phase3/aq-lnd-100227/index.html" = ""), HYPERLINK("https://truemarkets3d.net/3d-virtual-tour/housingbank-realestate/phase3/aq-lnd-100227/index.html", "جولة"), "")</f>
        <v>جولة</v>
      </c>
      <c r="AA88" t="str">
        <f>IF(NOT("https://maps.app.goo.gl/GTbJz9ECJLSW5v8A7" = ""), HYPERLINK("https://maps.app.goo.gl/GTbJz9ECJLSW5v8A7", "موقع"), "")</f>
        <v>موقع</v>
      </c>
    </row>
    <row r="89" spans="1:27" x14ac:dyDescent="0.3">
      <c r="A89" t="s">
        <v>416</v>
      </c>
      <c r="B89" s="1">
        <v>46182.512789351851</v>
      </c>
      <c r="C89" t="s">
        <v>1</v>
      </c>
      <c r="D89" t="s">
        <v>391</v>
      </c>
      <c r="E89" t="s">
        <v>49</v>
      </c>
      <c r="F89" t="s">
        <v>1947</v>
      </c>
      <c r="G89" t="s">
        <v>390</v>
      </c>
      <c r="H89" t="s">
        <v>22</v>
      </c>
      <c r="I89" t="s">
        <v>46</v>
      </c>
      <c r="J89" t="s">
        <v>412</v>
      </c>
      <c r="K89" t="s">
        <v>417</v>
      </c>
      <c r="L89">
        <v>0</v>
      </c>
      <c r="M89">
        <v>46</v>
      </c>
      <c r="N89">
        <v>299000</v>
      </c>
      <c r="O89">
        <v>32.514667000000003</v>
      </c>
      <c r="P89">
        <v>35.628528000000003</v>
      </c>
      <c r="Q89" t="s">
        <v>418</v>
      </c>
      <c r="S89" t="s">
        <v>1776</v>
      </c>
      <c r="T89" t="s">
        <v>1948</v>
      </c>
      <c r="U89" t="s">
        <v>1949</v>
      </c>
      <c r="W89" t="s">
        <v>419</v>
      </c>
      <c r="Y89" t="str">
        <f t="shared" si="4"/>
        <v/>
      </c>
      <c r="Z89" t="str">
        <f>IF(NOT("" = ""), HYPERLINK("", "جولة"), "")</f>
        <v/>
      </c>
      <c r="AA89" t="str">
        <f>IF(NOT("https://maps.app.goo.gl/wFe8mHvW4oBTUnKr7" = ""), HYPERLINK("https://maps.app.goo.gl/wFe8mHvW4oBTUnKr7", "موقع"), "")</f>
        <v>موقع</v>
      </c>
    </row>
    <row r="90" spans="1:27" x14ac:dyDescent="0.3">
      <c r="A90" t="s">
        <v>420</v>
      </c>
      <c r="B90" s="1">
        <v>46182.512789351851</v>
      </c>
      <c r="C90" t="s">
        <v>1</v>
      </c>
      <c r="D90" t="s">
        <v>421</v>
      </c>
      <c r="E90" t="s">
        <v>424</v>
      </c>
      <c r="F90" t="s">
        <v>1950</v>
      </c>
      <c r="G90" t="s">
        <v>262</v>
      </c>
      <c r="H90" t="s">
        <v>22</v>
      </c>
      <c r="I90" t="s">
        <v>111</v>
      </c>
      <c r="J90" t="s">
        <v>422</v>
      </c>
      <c r="K90" t="s">
        <v>423</v>
      </c>
      <c r="L90">
        <v>0</v>
      </c>
      <c r="M90">
        <v>721</v>
      </c>
      <c r="N90">
        <v>16000</v>
      </c>
      <c r="O90">
        <v>32.653500000000001</v>
      </c>
      <c r="P90">
        <v>35.719138999999998</v>
      </c>
      <c r="Q90" t="s">
        <v>425</v>
      </c>
      <c r="S90" t="s">
        <v>1776</v>
      </c>
      <c r="U90" t="s">
        <v>1951</v>
      </c>
      <c r="W90" t="s">
        <v>426</v>
      </c>
      <c r="Y90" t="str">
        <f t="shared" si="4"/>
        <v/>
      </c>
      <c r="Z90" t="str">
        <f>IF(NOT("" = ""), HYPERLINK("", "جولة"), "")</f>
        <v/>
      </c>
      <c r="AA90" t="str">
        <f>IF(NOT("https://maps.app.goo.gl/qccUBmfQyxV8jbS37" = ""), HYPERLINK("https://maps.app.goo.gl/qccUBmfQyxV8jbS37", "موقع"), "")</f>
        <v>موقع</v>
      </c>
    </row>
    <row r="91" spans="1:27" x14ac:dyDescent="0.3">
      <c r="A91" t="s">
        <v>427</v>
      </c>
      <c r="B91" s="1">
        <v>46182.512789351851</v>
      </c>
      <c r="C91" t="s">
        <v>1</v>
      </c>
      <c r="D91" t="s">
        <v>421</v>
      </c>
      <c r="E91" t="s">
        <v>194</v>
      </c>
      <c r="F91" t="s">
        <v>1952</v>
      </c>
      <c r="G91" t="s">
        <v>262</v>
      </c>
      <c r="H91" t="s">
        <v>22</v>
      </c>
      <c r="I91" t="s">
        <v>23</v>
      </c>
      <c r="J91" t="s">
        <v>428</v>
      </c>
      <c r="K91" t="s">
        <v>429</v>
      </c>
      <c r="L91">
        <v>0</v>
      </c>
      <c r="M91">
        <v>721</v>
      </c>
      <c r="N91">
        <v>43000</v>
      </c>
      <c r="O91">
        <v>32.616917000000001</v>
      </c>
      <c r="P91">
        <v>35.768999999999998</v>
      </c>
      <c r="Q91" t="s">
        <v>430</v>
      </c>
      <c r="S91" t="s">
        <v>1776</v>
      </c>
      <c r="U91" t="s">
        <v>1953</v>
      </c>
      <c r="W91" t="s">
        <v>431</v>
      </c>
      <c r="Y91" t="str">
        <f t="shared" si="4"/>
        <v/>
      </c>
      <c r="Z91" t="str">
        <f>IF(NOT("" = ""), HYPERLINK("", "جولة"), "")</f>
        <v/>
      </c>
      <c r="AA91" t="str">
        <f>IF(NOT("https://maps.app.goo.gl/jdP9mhJeqY1ZVuzt5" = ""), HYPERLINK("https://maps.app.goo.gl/jdP9mhJeqY1ZVuzt5", "موقع"), "")</f>
        <v>موقع</v>
      </c>
    </row>
    <row r="92" spans="1:27" x14ac:dyDescent="0.3">
      <c r="A92" t="s">
        <v>432</v>
      </c>
      <c r="B92" s="1">
        <v>46182.512789351851</v>
      </c>
      <c r="C92" t="s">
        <v>1</v>
      </c>
      <c r="D92" t="s">
        <v>433</v>
      </c>
      <c r="E92" t="s">
        <v>272</v>
      </c>
      <c r="F92" t="s">
        <v>1954</v>
      </c>
      <c r="G92" t="s">
        <v>262</v>
      </c>
      <c r="H92" t="s">
        <v>22</v>
      </c>
      <c r="I92" t="s">
        <v>177</v>
      </c>
      <c r="J92" t="s">
        <v>270</v>
      </c>
      <c r="K92" t="s">
        <v>434</v>
      </c>
      <c r="L92">
        <v>0</v>
      </c>
      <c r="M92">
        <v>305</v>
      </c>
      <c r="N92">
        <v>50000</v>
      </c>
      <c r="O92">
        <v>32.555971999999997</v>
      </c>
      <c r="P92">
        <v>36.016388999999997</v>
      </c>
      <c r="Q92" t="s">
        <v>435</v>
      </c>
      <c r="S92" t="s">
        <v>1776</v>
      </c>
      <c r="U92" t="s">
        <v>1955</v>
      </c>
      <c r="W92" t="s">
        <v>436</v>
      </c>
      <c r="Y92" t="str">
        <f t="shared" si="4"/>
        <v/>
      </c>
      <c r="Z92" t="str">
        <f>IF(NOT("" = ""), HYPERLINK("", "جولة"), "")</f>
        <v/>
      </c>
      <c r="AA92" t="str">
        <f>IF(NOT("https://maps.app.goo.gl/7LcX3touGJ2D87889" = ""), HYPERLINK("https://maps.app.goo.gl/7LcX3touGJ2D87889", "موقع"), "")</f>
        <v>موقع</v>
      </c>
    </row>
    <row r="93" spans="1:27" x14ac:dyDescent="0.3">
      <c r="A93" t="s">
        <v>437</v>
      </c>
      <c r="B93" s="1">
        <v>46182.512789351851</v>
      </c>
      <c r="C93" t="s">
        <v>1</v>
      </c>
      <c r="D93" t="s">
        <v>54</v>
      </c>
      <c r="E93" t="s">
        <v>442</v>
      </c>
      <c r="F93" t="s">
        <v>1956</v>
      </c>
      <c r="G93" t="s">
        <v>20</v>
      </c>
      <c r="H93" t="s">
        <v>438</v>
      </c>
      <c r="I93" t="s">
        <v>439</v>
      </c>
      <c r="J93" t="s">
        <v>440</v>
      </c>
      <c r="K93" t="s">
        <v>441</v>
      </c>
      <c r="L93">
        <v>132</v>
      </c>
      <c r="M93">
        <v>300</v>
      </c>
      <c r="N93">
        <v>25000</v>
      </c>
      <c r="O93">
        <v>32.058110999999997</v>
      </c>
      <c r="P93">
        <v>35.722000000000001</v>
      </c>
      <c r="Q93" t="s">
        <v>443</v>
      </c>
      <c r="R93" t="s">
        <v>1957</v>
      </c>
      <c r="S93" t="s">
        <v>1828</v>
      </c>
      <c r="U93" t="s">
        <v>1958</v>
      </c>
      <c r="V93" t="s">
        <v>50</v>
      </c>
      <c r="W93" t="s">
        <v>444</v>
      </c>
      <c r="X93" t="s">
        <v>1959</v>
      </c>
      <c r="Y93" t="str">
        <f>IF(NOT("https://youtu.be/PfMN3FxLFHg" = ""), HYPERLINK("https://youtu.be/PfMN3FxLFHg", "فيديو"), "")</f>
        <v>فيديو</v>
      </c>
      <c r="Z93" t="str">
        <f>IF(NOT("https://truemarkets3d.net/3d-virtual-tour/housingbank-realestate/phase3/aq-re-100656/index.html" = ""), HYPERLINK("https://truemarkets3d.net/3d-virtual-tour/housingbank-realestate/phase3/aq-re-100656/index.html", "جولة"), "")</f>
        <v>جولة</v>
      </c>
      <c r="AA93" t="str">
        <f>IF(NOT("https://maps.app.goo.gl/6RndwJPwZpYGEEyaA" = ""), HYPERLINK("https://maps.app.goo.gl/6RndwJPwZpYGEEyaA", "موقع"), "")</f>
        <v>موقع</v>
      </c>
    </row>
    <row r="94" spans="1:27" x14ac:dyDescent="0.3">
      <c r="A94" t="s">
        <v>445</v>
      </c>
      <c r="B94" s="1">
        <v>46182.512789351851</v>
      </c>
      <c r="C94" t="s">
        <v>1</v>
      </c>
      <c r="D94" t="s">
        <v>54</v>
      </c>
      <c r="E94" t="s">
        <v>447</v>
      </c>
      <c r="F94" t="s">
        <v>1960</v>
      </c>
      <c r="G94" t="s">
        <v>20</v>
      </c>
      <c r="H94" t="s">
        <v>438</v>
      </c>
      <c r="I94" t="s">
        <v>439</v>
      </c>
      <c r="J94" t="s">
        <v>440</v>
      </c>
      <c r="K94" t="s">
        <v>446</v>
      </c>
      <c r="L94">
        <v>-112</v>
      </c>
      <c r="M94">
        <v>1376</v>
      </c>
      <c r="N94">
        <v>50000</v>
      </c>
      <c r="O94">
        <v>32.055138999999997</v>
      </c>
      <c r="P94">
        <v>35.731693999999997</v>
      </c>
      <c r="Q94" t="s">
        <v>448</v>
      </c>
      <c r="R94" t="s">
        <v>1961</v>
      </c>
      <c r="S94" t="s">
        <v>1828</v>
      </c>
      <c r="U94" t="s">
        <v>1962</v>
      </c>
      <c r="V94" t="s">
        <v>27</v>
      </c>
      <c r="W94" t="s">
        <v>449</v>
      </c>
      <c r="X94" t="s">
        <v>1963</v>
      </c>
      <c r="Y94" t="str">
        <f>IF(NOT("https://youtu.be/xZ0pn7-7ITk" = ""), HYPERLINK("https://youtu.be/xZ0pn7-7ITk", "فيديو"), "")</f>
        <v>فيديو</v>
      </c>
      <c r="Z94" t="str">
        <f>IF(NOT("https://truemarkets3d.net/3d-virtual-tour/housingbank-realestate/phase3/aq-re-100660/index.html" = ""), HYPERLINK("https://truemarkets3d.net/3d-virtual-tour/housingbank-realestate/phase3/aq-re-100660/index.html", "جولة"), "")</f>
        <v>جولة</v>
      </c>
      <c r="AA94" t="str">
        <f>IF(NOT("https://maps.app.goo.gl/7L2MvjC9BBSDj8EC7" = ""), HYPERLINK("https://maps.app.goo.gl/7L2MvjC9BBSDj8EC7", "موقع"), "")</f>
        <v>موقع</v>
      </c>
    </row>
    <row r="95" spans="1:27" x14ac:dyDescent="0.3">
      <c r="A95" t="s">
        <v>450</v>
      </c>
      <c r="B95" s="1">
        <v>46182.512789351851</v>
      </c>
      <c r="C95" t="s">
        <v>1</v>
      </c>
      <c r="D95" t="s">
        <v>54</v>
      </c>
      <c r="E95" t="s">
        <v>442</v>
      </c>
      <c r="F95" t="s">
        <v>1964</v>
      </c>
      <c r="G95" t="s">
        <v>20</v>
      </c>
      <c r="H95" t="s">
        <v>438</v>
      </c>
      <c r="I95" t="s">
        <v>439</v>
      </c>
      <c r="J95" t="s">
        <v>440</v>
      </c>
      <c r="K95" t="s">
        <v>441</v>
      </c>
      <c r="L95">
        <v>-123</v>
      </c>
      <c r="M95">
        <v>282</v>
      </c>
      <c r="N95">
        <v>59000</v>
      </c>
      <c r="O95">
        <v>32.054721999999998</v>
      </c>
      <c r="P95">
        <v>35.725332999999999</v>
      </c>
      <c r="Q95" t="s">
        <v>206</v>
      </c>
      <c r="R95" t="s">
        <v>1965</v>
      </c>
      <c r="S95" t="s">
        <v>1828</v>
      </c>
      <c r="U95" t="s">
        <v>1966</v>
      </c>
      <c r="V95" t="s">
        <v>451</v>
      </c>
      <c r="W95" t="s">
        <v>452</v>
      </c>
      <c r="X95" t="s">
        <v>1967</v>
      </c>
      <c r="Y95" t="str">
        <f>IF(NOT("https://youtu.be/yv2fVCxQgQk" = ""), HYPERLINK("https://youtu.be/yv2fVCxQgQk", "فيديو"), "")</f>
        <v>فيديو</v>
      </c>
      <c r="Z95" t="str">
        <f>IF(NOT("https://truemarkets3d.net/3d-virtual-tour/housingbank-realestate/phase3/aq-re-100572/index.html" = ""), HYPERLINK("https://truemarkets3d.net/3d-virtual-tour/housingbank-realestate/phase3/aq-re-100572/index.html", "جولة"), "")</f>
        <v>جولة</v>
      </c>
      <c r="AA95" t="str">
        <f>IF(NOT("https://maps.app.goo.gl/8T2GeRGwHai9fGQ79" = ""), HYPERLINK("https://maps.app.goo.gl/8T2GeRGwHai9fGQ79", "موقع"), "")</f>
        <v>موقع</v>
      </c>
    </row>
    <row r="96" spans="1:27" x14ac:dyDescent="0.3">
      <c r="A96" t="s">
        <v>453</v>
      </c>
      <c r="B96" s="1">
        <v>46182.512789351851</v>
      </c>
      <c r="C96" t="s">
        <v>1</v>
      </c>
      <c r="D96" t="s">
        <v>54</v>
      </c>
      <c r="E96" t="s">
        <v>447</v>
      </c>
      <c r="F96" t="s">
        <v>1968</v>
      </c>
      <c r="G96" t="s">
        <v>20</v>
      </c>
      <c r="H96" t="s">
        <v>438</v>
      </c>
      <c r="I96" t="s">
        <v>439</v>
      </c>
      <c r="J96" t="s">
        <v>440</v>
      </c>
      <c r="K96" t="s">
        <v>446</v>
      </c>
      <c r="L96">
        <v>-101</v>
      </c>
      <c r="M96">
        <v>2384</v>
      </c>
      <c r="N96">
        <v>59000</v>
      </c>
      <c r="O96">
        <v>32.054110999999999</v>
      </c>
      <c r="P96">
        <v>35.735917000000001</v>
      </c>
      <c r="Q96" t="s">
        <v>454</v>
      </c>
      <c r="R96" t="s">
        <v>1969</v>
      </c>
      <c r="S96" t="s">
        <v>1828</v>
      </c>
      <c r="U96" t="s">
        <v>1970</v>
      </c>
      <c r="V96" t="s">
        <v>27</v>
      </c>
      <c r="W96" t="s">
        <v>455</v>
      </c>
      <c r="Y96" t="str">
        <f t="shared" ref="Y96:Y127" si="6">IF(NOT("" = ""), HYPERLINK("", "فيديو"), "")</f>
        <v/>
      </c>
      <c r="Z96" t="str">
        <f>IF(NOT("https://truemarkets3d.net/3d-virtual-tour/housingbank-realestate/phase3/aq-re-100698/index.html" = ""), HYPERLINK("https://truemarkets3d.net/3d-virtual-tour/housingbank-realestate/phase3/aq-re-100698/index.html", "جولة"), "")</f>
        <v>جولة</v>
      </c>
      <c r="AA96" t="str">
        <f>IF(NOT("https://maps.app.goo.gl/yvsNowNAet4CtjyT8" = ""), HYPERLINK("https://maps.app.goo.gl/yvsNowNAet4CtjyT8", "موقع"), "")</f>
        <v>موقع</v>
      </c>
    </row>
    <row r="97" spans="1:27" x14ac:dyDescent="0.3">
      <c r="A97" t="s">
        <v>456</v>
      </c>
      <c r="B97" s="1">
        <v>46182.512789351851</v>
      </c>
      <c r="C97" t="s">
        <v>1</v>
      </c>
      <c r="D97" t="s">
        <v>54</v>
      </c>
      <c r="E97" t="s">
        <v>447</v>
      </c>
      <c r="F97" t="s">
        <v>1971</v>
      </c>
      <c r="G97" t="s">
        <v>20</v>
      </c>
      <c r="H97" t="s">
        <v>438</v>
      </c>
      <c r="I97" t="s">
        <v>439</v>
      </c>
      <c r="J97" t="s">
        <v>440</v>
      </c>
      <c r="K97" t="s">
        <v>441</v>
      </c>
      <c r="L97">
        <v>-122</v>
      </c>
      <c r="M97">
        <v>282</v>
      </c>
      <c r="N97">
        <v>61000</v>
      </c>
      <c r="O97">
        <v>32.054721999999998</v>
      </c>
      <c r="P97">
        <v>35.725332999999999</v>
      </c>
      <c r="Q97" t="s">
        <v>457</v>
      </c>
      <c r="R97" t="s">
        <v>1972</v>
      </c>
      <c r="S97" t="s">
        <v>1828</v>
      </c>
      <c r="U97" t="s">
        <v>1966</v>
      </c>
      <c r="V97" t="s">
        <v>451</v>
      </c>
      <c r="W97" t="s">
        <v>452</v>
      </c>
      <c r="Y97" t="str">
        <f t="shared" si="6"/>
        <v/>
      </c>
      <c r="Z97" t="str">
        <f>IF(NOT("https://truemarkets3d.net/3d-virtual-tour/housingbank-realestate/phase3/aq-re-100105/index.html" = ""), HYPERLINK("https://truemarkets3d.net/3d-virtual-tour/housingbank-realestate/phase3/aq-re-100105/index.html", "جولة"), "")</f>
        <v>جولة</v>
      </c>
      <c r="AA97" t="str">
        <f>IF(NOT("https://maps.app.goo.gl/8T2GeRGwHai9fGQ79" = ""), HYPERLINK("https://maps.app.goo.gl/8T2GeRGwHai9fGQ79", "موقع"), "")</f>
        <v>موقع</v>
      </c>
    </row>
    <row r="98" spans="1:27" x14ac:dyDescent="0.3">
      <c r="A98" t="s">
        <v>458</v>
      </c>
      <c r="B98" s="1">
        <v>46182.512789351851</v>
      </c>
      <c r="C98" t="s">
        <v>1</v>
      </c>
      <c r="D98" t="s">
        <v>54</v>
      </c>
      <c r="E98" t="s">
        <v>447</v>
      </c>
      <c r="F98" t="s">
        <v>1973</v>
      </c>
      <c r="G98" t="s">
        <v>20</v>
      </c>
      <c r="H98" t="s">
        <v>438</v>
      </c>
      <c r="I98" t="s">
        <v>439</v>
      </c>
      <c r="J98" t="s">
        <v>440</v>
      </c>
      <c r="K98" t="s">
        <v>441</v>
      </c>
      <c r="L98">
        <v>-112</v>
      </c>
      <c r="M98">
        <v>282</v>
      </c>
      <c r="N98">
        <v>62000</v>
      </c>
      <c r="Q98" t="s">
        <v>459</v>
      </c>
      <c r="S98" t="s">
        <v>1776</v>
      </c>
      <c r="V98" t="s">
        <v>27</v>
      </c>
      <c r="W98" t="s">
        <v>460</v>
      </c>
      <c r="Y98" t="str">
        <f t="shared" si="6"/>
        <v/>
      </c>
      <c r="Z98" t="str">
        <f>IF(NOT("" = ""), HYPERLINK("", "جولة"), "")</f>
        <v/>
      </c>
      <c r="AA98" t="str">
        <f>IF(NOT("" = ""), HYPERLINK("", "موقع"), "")</f>
        <v/>
      </c>
    </row>
    <row r="99" spans="1:27" x14ac:dyDescent="0.3">
      <c r="A99" t="s">
        <v>461</v>
      </c>
      <c r="B99" s="1">
        <v>46182.512789351851</v>
      </c>
      <c r="C99" t="s">
        <v>1</v>
      </c>
      <c r="D99" t="s">
        <v>54</v>
      </c>
      <c r="E99" t="s">
        <v>442</v>
      </c>
      <c r="F99" t="s">
        <v>1974</v>
      </c>
      <c r="G99" t="s">
        <v>20</v>
      </c>
      <c r="H99" t="s">
        <v>438</v>
      </c>
      <c r="I99" t="s">
        <v>439</v>
      </c>
      <c r="J99" t="s">
        <v>440</v>
      </c>
      <c r="K99" t="s">
        <v>441</v>
      </c>
      <c r="L99">
        <v>101</v>
      </c>
      <c r="M99">
        <v>300</v>
      </c>
      <c r="N99">
        <v>62000</v>
      </c>
      <c r="O99">
        <v>32.058110999999997</v>
      </c>
      <c r="P99">
        <v>35.722000000000001</v>
      </c>
      <c r="Q99" t="s">
        <v>462</v>
      </c>
      <c r="R99" t="s">
        <v>1975</v>
      </c>
      <c r="S99" t="s">
        <v>1828</v>
      </c>
      <c r="U99" t="s">
        <v>1976</v>
      </c>
      <c r="V99" t="s">
        <v>41</v>
      </c>
      <c r="W99" t="s">
        <v>463</v>
      </c>
      <c r="Y99" t="str">
        <f t="shared" si="6"/>
        <v/>
      </c>
      <c r="Z99" t="str">
        <f>IF(NOT("https://truemarkets3d.net/3d-virtual-tour/housingbank-realestate/phase3/aq-re-100012/index.html" = ""), HYPERLINK("https://truemarkets3d.net/3d-virtual-tour/housingbank-realestate/phase3/aq-re-100012/index.html", "جولة"), "")</f>
        <v>جولة</v>
      </c>
      <c r="AA99" t="str">
        <f>IF(NOT("https://maps.app.goo.gl/Jx9oW4LuchHHL7Gw7" = ""), HYPERLINK("https://maps.app.goo.gl/Jx9oW4LuchHHL7Gw7", "موقع"), "")</f>
        <v>موقع</v>
      </c>
    </row>
    <row r="100" spans="1:27" x14ac:dyDescent="0.3">
      <c r="A100" t="s">
        <v>464</v>
      </c>
      <c r="B100" s="1">
        <v>46182.512789351851</v>
      </c>
      <c r="C100" t="s">
        <v>1</v>
      </c>
      <c r="D100" t="s">
        <v>281</v>
      </c>
      <c r="E100" t="s">
        <v>447</v>
      </c>
      <c r="F100" t="s">
        <v>1977</v>
      </c>
      <c r="G100" t="s">
        <v>262</v>
      </c>
      <c r="H100" t="s">
        <v>438</v>
      </c>
      <c r="I100" t="s">
        <v>439</v>
      </c>
      <c r="J100" t="s">
        <v>440</v>
      </c>
      <c r="K100" t="s">
        <v>465</v>
      </c>
      <c r="L100">
        <v>0</v>
      </c>
      <c r="M100">
        <v>33</v>
      </c>
      <c r="N100">
        <v>1000</v>
      </c>
      <c r="O100">
        <v>32.040638999999999</v>
      </c>
      <c r="P100">
        <v>35.727305999999999</v>
      </c>
      <c r="Q100" t="s">
        <v>466</v>
      </c>
      <c r="S100" t="s">
        <v>1776</v>
      </c>
      <c r="U100" t="s">
        <v>1978</v>
      </c>
      <c r="W100" t="s">
        <v>467</v>
      </c>
      <c r="Y100" t="str">
        <f t="shared" si="6"/>
        <v/>
      </c>
      <c r="Z100" t="str">
        <f t="shared" ref="Z100:Z107" si="7">IF(NOT("" = ""), HYPERLINK("", "جولة"), "")</f>
        <v/>
      </c>
      <c r="AA100" t="str">
        <f>IF(NOT("https://maps.app.goo.gl/21hMGwEtcZe6gXuB7" = ""), HYPERLINK("https://maps.app.goo.gl/21hMGwEtcZe6gXuB7", "موقع"), "")</f>
        <v>موقع</v>
      </c>
    </row>
    <row r="101" spans="1:27" x14ac:dyDescent="0.3">
      <c r="A101" t="s">
        <v>468</v>
      </c>
      <c r="B101" s="1">
        <v>46182.512789351851</v>
      </c>
      <c r="C101" t="s">
        <v>1</v>
      </c>
      <c r="D101" t="s">
        <v>281</v>
      </c>
      <c r="E101" t="s">
        <v>472</v>
      </c>
      <c r="F101" t="s">
        <v>1979</v>
      </c>
      <c r="G101" t="s">
        <v>262</v>
      </c>
      <c r="H101" t="s">
        <v>438</v>
      </c>
      <c r="I101" t="s">
        <v>469</v>
      </c>
      <c r="J101" t="s">
        <v>470</v>
      </c>
      <c r="K101" t="s">
        <v>471</v>
      </c>
      <c r="L101">
        <v>0</v>
      </c>
      <c r="M101">
        <v>522</v>
      </c>
      <c r="N101">
        <v>23000</v>
      </c>
      <c r="O101">
        <v>31.831083</v>
      </c>
      <c r="P101">
        <v>35.658222000000002</v>
      </c>
      <c r="Q101" t="s">
        <v>473</v>
      </c>
      <c r="S101" t="s">
        <v>1776</v>
      </c>
      <c r="U101" t="s">
        <v>1980</v>
      </c>
      <c r="W101" t="s">
        <v>474</v>
      </c>
      <c r="Y101" t="str">
        <f t="shared" si="6"/>
        <v/>
      </c>
      <c r="Z101" t="str">
        <f t="shared" si="7"/>
        <v/>
      </c>
      <c r="AA101" t="str">
        <f>IF(NOT("https://maps.app.goo.gl/ywwSPGuWCw49182z5" = ""), HYPERLINK("https://maps.app.goo.gl/ywwSPGuWCw49182z5", "موقع"), "")</f>
        <v>موقع</v>
      </c>
    </row>
    <row r="102" spans="1:27" x14ac:dyDescent="0.3">
      <c r="A102" t="s">
        <v>475</v>
      </c>
      <c r="B102" s="1">
        <v>46182.512789351851</v>
      </c>
      <c r="C102" t="s">
        <v>1</v>
      </c>
      <c r="D102" t="s">
        <v>281</v>
      </c>
      <c r="E102" t="s">
        <v>472</v>
      </c>
      <c r="F102" t="s">
        <v>1981</v>
      </c>
      <c r="G102" t="s">
        <v>262</v>
      </c>
      <c r="H102" t="s">
        <v>438</v>
      </c>
      <c r="I102" t="s">
        <v>469</v>
      </c>
      <c r="J102" t="s">
        <v>476</v>
      </c>
      <c r="K102" t="s">
        <v>477</v>
      </c>
      <c r="L102">
        <v>0</v>
      </c>
      <c r="M102">
        <v>199</v>
      </c>
      <c r="N102">
        <v>31000</v>
      </c>
      <c r="O102">
        <v>31.953194</v>
      </c>
      <c r="P102">
        <v>35.575972</v>
      </c>
      <c r="Q102" t="s">
        <v>478</v>
      </c>
      <c r="S102" t="s">
        <v>1776</v>
      </c>
      <c r="U102" t="s">
        <v>1982</v>
      </c>
      <c r="W102" t="s">
        <v>479</v>
      </c>
      <c r="Y102" t="str">
        <f t="shared" si="6"/>
        <v/>
      </c>
      <c r="Z102" t="str">
        <f t="shared" si="7"/>
        <v/>
      </c>
      <c r="AA102" t="str">
        <f>IF(NOT("https://maps.app.goo.gl/knbKAjXgj6dbL4LRA" = ""), HYPERLINK("https://maps.app.goo.gl/knbKAjXgj6dbL4LRA", "موقع"), "")</f>
        <v>موقع</v>
      </c>
    </row>
    <row r="103" spans="1:27" x14ac:dyDescent="0.3">
      <c r="A103" t="s">
        <v>480</v>
      </c>
      <c r="B103" s="1">
        <v>46182.512789351851</v>
      </c>
      <c r="C103" t="s">
        <v>1</v>
      </c>
      <c r="D103" t="s">
        <v>281</v>
      </c>
      <c r="E103" t="s">
        <v>447</v>
      </c>
      <c r="F103" t="s">
        <v>1983</v>
      </c>
      <c r="G103" t="s">
        <v>262</v>
      </c>
      <c r="H103" t="s">
        <v>438</v>
      </c>
      <c r="I103" t="s">
        <v>469</v>
      </c>
      <c r="J103" t="s">
        <v>481</v>
      </c>
      <c r="K103" t="s">
        <v>482</v>
      </c>
      <c r="L103">
        <v>0</v>
      </c>
      <c r="M103">
        <v>625</v>
      </c>
      <c r="N103">
        <v>37000</v>
      </c>
      <c r="Q103" t="s">
        <v>483</v>
      </c>
      <c r="S103" t="s">
        <v>1776</v>
      </c>
      <c r="W103" t="s">
        <v>484</v>
      </c>
      <c r="Y103" t="str">
        <f t="shared" si="6"/>
        <v/>
      </c>
      <c r="Z103" t="str">
        <f t="shared" si="7"/>
        <v/>
      </c>
      <c r="AA103" t="str">
        <f>IF(NOT("" = ""), HYPERLINK("", "موقع"), "")</f>
        <v/>
      </c>
    </row>
    <row r="104" spans="1:27" x14ac:dyDescent="0.3">
      <c r="A104" t="s">
        <v>485</v>
      </c>
      <c r="B104" s="1">
        <v>46182.512789351851</v>
      </c>
      <c r="C104" t="s">
        <v>1</v>
      </c>
      <c r="D104" t="s">
        <v>281</v>
      </c>
      <c r="E104" t="s">
        <v>472</v>
      </c>
      <c r="F104" t="s">
        <v>1984</v>
      </c>
      <c r="G104" t="s">
        <v>262</v>
      </c>
      <c r="H104" t="s">
        <v>438</v>
      </c>
      <c r="I104" t="s">
        <v>469</v>
      </c>
      <c r="J104" t="s">
        <v>481</v>
      </c>
      <c r="K104" t="s">
        <v>486</v>
      </c>
      <c r="L104">
        <v>0</v>
      </c>
      <c r="M104">
        <v>2696</v>
      </c>
      <c r="N104">
        <v>41000</v>
      </c>
      <c r="Q104" t="s">
        <v>487</v>
      </c>
      <c r="S104" t="s">
        <v>1776</v>
      </c>
      <c r="W104" t="s">
        <v>488</v>
      </c>
      <c r="Y104" t="str">
        <f t="shared" si="6"/>
        <v/>
      </c>
      <c r="Z104" t="str">
        <f t="shared" si="7"/>
        <v/>
      </c>
      <c r="AA104" t="str">
        <f>IF(NOT("" = ""), HYPERLINK("", "موقع"), "")</f>
        <v/>
      </c>
    </row>
    <row r="105" spans="1:27" x14ac:dyDescent="0.3">
      <c r="A105" t="s">
        <v>489</v>
      </c>
      <c r="B105" s="1">
        <v>46182.512789351851</v>
      </c>
      <c r="C105" t="s">
        <v>1</v>
      </c>
      <c r="D105" t="s">
        <v>281</v>
      </c>
      <c r="E105" t="s">
        <v>491</v>
      </c>
      <c r="F105" t="s">
        <v>1985</v>
      </c>
      <c r="G105" t="s">
        <v>262</v>
      </c>
      <c r="H105" t="s">
        <v>438</v>
      </c>
      <c r="I105" t="s">
        <v>439</v>
      </c>
      <c r="J105" t="s">
        <v>440</v>
      </c>
      <c r="K105" t="s">
        <v>490</v>
      </c>
      <c r="L105">
        <v>0</v>
      </c>
      <c r="M105">
        <v>85</v>
      </c>
      <c r="N105">
        <v>53000</v>
      </c>
      <c r="O105">
        <v>32.042166999999999</v>
      </c>
      <c r="P105">
        <v>35.696221999999999</v>
      </c>
      <c r="Q105" t="s">
        <v>492</v>
      </c>
      <c r="S105" t="s">
        <v>1776</v>
      </c>
      <c r="U105" t="s">
        <v>1986</v>
      </c>
      <c r="W105" t="s">
        <v>493</v>
      </c>
      <c r="Y105" t="str">
        <f t="shared" si="6"/>
        <v/>
      </c>
      <c r="Z105" t="str">
        <f t="shared" si="7"/>
        <v/>
      </c>
      <c r="AA105" t="str">
        <f>IF(NOT("https://maps.app.goo.gl/a2JyeiPQoTnDutsu5" = ""), HYPERLINK("https://maps.app.goo.gl/a2JyeiPQoTnDutsu5", "موقع"), "")</f>
        <v>موقع</v>
      </c>
    </row>
    <row r="106" spans="1:27" x14ac:dyDescent="0.3">
      <c r="A106" t="s">
        <v>494</v>
      </c>
      <c r="B106" s="1">
        <v>46182.512789351851</v>
      </c>
      <c r="C106" t="s">
        <v>1</v>
      </c>
      <c r="D106" t="s">
        <v>281</v>
      </c>
      <c r="E106" t="s">
        <v>447</v>
      </c>
      <c r="F106" t="s">
        <v>1987</v>
      </c>
      <c r="G106" t="s">
        <v>262</v>
      </c>
      <c r="H106" t="s">
        <v>438</v>
      </c>
      <c r="I106" t="s">
        <v>439</v>
      </c>
      <c r="J106" t="s">
        <v>495</v>
      </c>
      <c r="K106" t="s">
        <v>496</v>
      </c>
      <c r="L106">
        <v>0</v>
      </c>
      <c r="M106">
        <v>121</v>
      </c>
      <c r="N106">
        <v>78000</v>
      </c>
      <c r="Q106" t="s">
        <v>497</v>
      </c>
      <c r="S106" t="s">
        <v>1776</v>
      </c>
      <c r="W106" t="s">
        <v>498</v>
      </c>
      <c r="Y106" t="str">
        <f t="shared" si="6"/>
        <v/>
      </c>
      <c r="Z106" t="str">
        <f t="shared" si="7"/>
        <v/>
      </c>
      <c r="AA106" t="str">
        <f>IF(NOT("" = ""), HYPERLINK("", "موقع"), "")</f>
        <v/>
      </c>
    </row>
    <row r="107" spans="1:27" x14ac:dyDescent="0.3">
      <c r="A107" t="s">
        <v>499</v>
      </c>
      <c r="B107" s="1">
        <v>46182.512789351851</v>
      </c>
      <c r="C107" t="s">
        <v>1</v>
      </c>
      <c r="D107" t="s">
        <v>281</v>
      </c>
      <c r="E107" t="s">
        <v>447</v>
      </c>
      <c r="F107" t="s">
        <v>1988</v>
      </c>
      <c r="G107" t="s">
        <v>262</v>
      </c>
      <c r="H107" t="s">
        <v>438</v>
      </c>
      <c r="I107" t="s">
        <v>439</v>
      </c>
      <c r="J107" t="s">
        <v>440</v>
      </c>
      <c r="K107" t="s">
        <v>500</v>
      </c>
      <c r="L107">
        <v>0</v>
      </c>
      <c r="M107">
        <v>187</v>
      </c>
      <c r="N107">
        <v>415000</v>
      </c>
      <c r="O107">
        <v>32.063277999999997</v>
      </c>
      <c r="P107">
        <v>35.751472</v>
      </c>
      <c r="Q107" t="s">
        <v>501</v>
      </c>
      <c r="S107" t="s">
        <v>1776</v>
      </c>
      <c r="U107" t="s">
        <v>1989</v>
      </c>
      <c r="W107" t="s">
        <v>502</v>
      </c>
      <c r="Y107" t="str">
        <f t="shared" si="6"/>
        <v/>
      </c>
      <c r="Z107" t="str">
        <f t="shared" si="7"/>
        <v/>
      </c>
      <c r="AA107" t="str">
        <f>IF(NOT("https://maps.app.goo.gl/Ya9YEaFjkS2haHkf9" = ""), HYPERLINK("https://maps.app.goo.gl/Ya9YEaFjkS2haHkf9", "موقع"), "")</f>
        <v>موقع</v>
      </c>
    </row>
    <row r="108" spans="1:27" x14ac:dyDescent="0.3">
      <c r="A108" t="s">
        <v>503</v>
      </c>
      <c r="B108" s="1">
        <v>46182.512789351851</v>
      </c>
      <c r="C108" t="s">
        <v>1</v>
      </c>
      <c r="D108" t="s">
        <v>380</v>
      </c>
      <c r="E108" t="s">
        <v>505</v>
      </c>
      <c r="F108" t="s">
        <v>1990</v>
      </c>
      <c r="G108" t="s">
        <v>262</v>
      </c>
      <c r="H108" t="s">
        <v>438</v>
      </c>
      <c r="I108" t="s">
        <v>439</v>
      </c>
      <c r="J108" t="s">
        <v>440</v>
      </c>
      <c r="K108" t="s">
        <v>504</v>
      </c>
      <c r="L108">
        <v>0</v>
      </c>
      <c r="M108">
        <v>413</v>
      </c>
      <c r="N108">
        <v>547000</v>
      </c>
      <c r="O108">
        <v>32.040722000000002</v>
      </c>
      <c r="P108">
        <v>35.783194000000002</v>
      </c>
      <c r="Q108" t="s">
        <v>506</v>
      </c>
      <c r="R108" t="s">
        <v>1991</v>
      </c>
      <c r="S108" t="s">
        <v>1828</v>
      </c>
      <c r="U108" t="s">
        <v>1992</v>
      </c>
      <c r="W108" t="s">
        <v>507</v>
      </c>
      <c r="Y108" t="str">
        <f t="shared" si="6"/>
        <v/>
      </c>
      <c r="Z108" t="str">
        <f>IF(NOT("https://www.true-markets.net/media/360tour/housing-bank/413/index.html" = ""), HYPERLINK("https://www.true-markets.net/media/360tour/housing-bank/413/index.html", "جولة"), "")</f>
        <v>جولة</v>
      </c>
      <c r="AA108" t="str">
        <f>IF(NOT("https://maps.app.goo.gl/TP9Z9iRqcqTAfn4d6" = ""), HYPERLINK("https://maps.app.goo.gl/TP9Z9iRqcqTAfn4d6", "موقع"), "")</f>
        <v>موقع</v>
      </c>
    </row>
    <row r="109" spans="1:27" x14ac:dyDescent="0.3">
      <c r="A109" t="s">
        <v>508</v>
      </c>
      <c r="B109" s="1">
        <v>46182.512789351851</v>
      </c>
      <c r="C109" t="s">
        <v>1</v>
      </c>
      <c r="D109" t="s">
        <v>391</v>
      </c>
      <c r="E109" t="s">
        <v>511</v>
      </c>
      <c r="F109" t="s">
        <v>1993</v>
      </c>
      <c r="G109" t="s">
        <v>390</v>
      </c>
      <c r="H109" t="s">
        <v>438</v>
      </c>
      <c r="I109" t="s">
        <v>469</v>
      </c>
      <c r="J109" t="s">
        <v>509</v>
      </c>
      <c r="K109" t="s">
        <v>510</v>
      </c>
      <c r="L109">
        <v>0</v>
      </c>
      <c r="M109">
        <v>1030</v>
      </c>
      <c r="N109">
        <v>20000</v>
      </c>
      <c r="O109">
        <v>31.762139000000001</v>
      </c>
      <c r="P109">
        <v>35.596249999999998</v>
      </c>
      <c r="Q109" t="s">
        <v>512</v>
      </c>
      <c r="R109" t="s">
        <v>1994</v>
      </c>
      <c r="S109" t="s">
        <v>1776</v>
      </c>
      <c r="T109" t="s">
        <v>1995</v>
      </c>
      <c r="U109" t="s">
        <v>1996</v>
      </c>
      <c r="W109" t="s">
        <v>513</v>
      </c>
      <c r="Y109" t="str">
        <f t="shared" si="6"/>
        <v/>
      </c>
      <c r="Z109" t="str">
        <f>IF(NOT("https://truemarkets3d.net/3d-virtual-tour/housingbank-realestate/phase3/aq-re-100393/index.html" = ""), HYPERLINK("https://truemarkets3d.net/3d-virtual-tour/housingbank-realestate/phase3/aq-re-100393/index.html", "جولة"), "")</f>
        <v>جولة</v>
      </c>
      <c r="AA109" t="str">
        <f>IF(NOT("https://maps.app.goo.gl/BUJsxtcTZ6v2LhbFA" = ""), HYPERLINK("https://maps.app.goo.gl/BUJsxtcTZ6v2LhbFA", "موقع"), "")</f>
        <v>موقع</v>
      </c>
    </row>
    <row r="110" spans="1:27" x14ac:dyDescent="0.3">
      <c r="A110" t="s">
        <v>514</v>
      </c>
      <c r="B110" s="1">
        <v>46182.512789351851</v>
      </c>
      <c r="C110" t="s">
        <v>1</v>
      </c>
      <c r="D110" t="s">
        <v>391</v>
      </c>
      <c r="E110" t="s">
        <v>511</v>
      </c>
      <c r="F110" t="s">
        <v>1997</v>
      </c>
      <c r="G110" t="s">
        <v>390</v>
      </c>
      <c r="H110" t="s">
        <v>438</v>
      </c>
      <c r="I110" t="s">
        <v>469</v>
      </c>
      <c r="J110" t="s">
        <v>509</v>
      </c>
      <c r="K110" t="s">
        <v>510</v>
      </c>
      <c r="L110">
        <v>0</v>
      </c>
      <c r="M110">
        <v>1029</v>
      </c>
      <c r="N110">
        <v>20000</v>
      </c>
      <c r="O110">
        <v>31.762111000000001</v>
      </c>
      <c r="P110">
        <v>35.596305999999998</v>
      </c>
      <c r="Q110" t="s">
        <v>512</v>
      </c>
      <c r="R110" t="s">
        <v>1994</v>
      </c>
      <c r="S110" t="s">
        <v>1776</v>
      </c>
      <c r="T110" t="s">
        <v>1998</v>
      </c>
      <c r="U110" t="s">
        <v>1999</v>
      </c>
      <c r="W110" t="s">
        <v>515</v>
      </c>
      <c r="Y110" t="str">
        <f t="shared" si="6"/>
        <v/>
      </c>
      <c r="Z110" t="str">
        <f>IF(NOT("https://truemarkets3d.net/3d-virtual-tour/housingbank-realestate/phase3/aq-re-100393/index.html" = ""), HYPERLINK("https://truemarkets3d.net/3d-virtual-tour/housingbank-realestate/phase3/aq-re-100393/index.html", "جولة"), "")</f>
        <v>جولة</v>
      </c>
      <c r="AA110" t="str">
        <f>IF(NOT("https://maps.app.goo.gl/PtGf9AVBkxouppTQ6" = ""), HYPERLINK("https://maps.app.goo.gl/PtGf9AVBkxouppTQ6", "موقع"), "")</f>
        <v>موقع</v>
      </c>
    </row>
    <row r="111" spans="1:27" x14ac:dyDescent="0.3">
      <c r="A111" t="s">
        <v>516</v>
      </c>
      <c r="B111" s="1">
        <v>46182.512789351851</v>
      </c>
      <c r="C111" t="s">
        <v>1</v>
      </c>
      <c r="D111" t="s">
        <v>391</v>
      </c>
      <c r="E111" t="s">
        <v>511</v>
      </c>
      <c r="F111" t="s">
        <v>1997</v>
      </c>
      <c r="G111" t="s">
        <v>390</v>
      </c>
      <c r="H111" t="s">
        <v>438</v>
      </c>
      <c r="I111" t="s">
        <v>469</v>
      </c>
      <c r="J111" t="s">
        <v>509</v>
      </c>
      <c r="K111" t="s">
        <v>510</v>
      </c>
      <c r="L111">
        <v>0</v>
      </c>
      <c r="M111">
        <v>1028</v>
      </c>
      <c r="N111">
        <v>20000</v>
      </c>
      <c r="O111">
        <v>31.761917</v>
      </c>
      <c r="P111">
        <v>35.596221999999997</v>
      </c>
      <c r="Q111" t="s">
        <v>512</v>
      </c>
      <c r="R111" t="s">
        <v>1994</v>
      </c>
      <c r="S111" t="s">
        <v>1776</v>
      </c>
      <c r="T111" t="s">
        <v>2000</v>
      </c>
      <c r="U111" t="s">
        <v>2001</v>
      </c>
      <c r="W111" t="s">
        <v>515</v>
      </c>
      <c r="Y111" t="str">
        <f t="shared" si="6"/>
        <v/>
      </c>
      <c r="Z111" t="str">
        <f>IF(NOT("https://truemarkets3d.net/3d-virtual-tour/housingbank-realestate/phase3/aq-re-100393/index.html" = ""), HYPERLINK("https://truemarkets3d.net/3d-virtual-tour/housingbank-realestate/phase3/aq-re-100393/index.html", "جولة"), "")</f>
        <v>جولة</v>
      </c>
      <c r="AA111" t="str">
        <f>IF(NOT("https://maps.app.goo.gl/gF16esqLTh2gm6z58" = ""), HYPERLINK("https://maps.app.goo.gl/gF16esqLTh2gm6z58", "موقع"), "")</f>
        <v>موقع</v>
      </c>
    </row>
    <row r="112" spans="1:27" x14ac:dyDescent="0.3">
      <c r="A112" t="s">
        <v>517</v>
      </c>
      <c r="B112" s="1">
        <v>46182.512789351851</v>
      </c>
      <c r="C112" t="s">
        <v>1</v>
      </c>
      <c r="D112" t="s">
        <v>391</v>
      </c>
      <c r="E112" t="s">
        <v>520</v>
      </c>
      <c r="F112" t="s">
        <v>2002</v>
      </c>
      <c r="G112" t="s">
        <v>390</v>
      </c>
      <c r="H112" t="s">
        <v>438</v>
      </c>
      <c r="I112" t="s">
        <v>439</v>
      </c>
      <c r="J112" t="s">
        <v>518</v>
      </c>
      <c r="K112" t="s">
        <v>519</v>
      </c>
      <c r="L112">
        <v>0</v>
      </c>
      <c r="M112">
        <v>151</v>
      </c>
      <c r="N112">
        <v>22000</v>
      </c>
      <c r="O112">
        <v>32.118056000000003</v>
      </c>
      <c r="P112">
        <v>35.738444000000001</v>
      </c>
      <c r="Q112" t="s">
        <v>521</v>
      </c>
      <c r="S112" t="s">
        <v>1776</v>
      </c>
      <c r="T112" t="s">
        <v>2003</v>
      </c>
      <c r="U112" t="s">
        <v>2004</v>
      </c>
      <c r="W112" t="s">
        <v>522</v>
      </c>
      <c r="Y112" t="str">
        <f t="shared" si="6"/>
        <v/>
      </c>
      <c r="Z112" t="str">
        <f>IF(NOT("" = ""), HYPERLINK("", "جولة"), "")</f>
        <v/>
      </c>
      <c r="AA112" t="str">
        <f>IF(NOT("https://maps.app.goo.gl/kZpH61LGfRkMrLKi6" = ""), HYPERLINK("https://maps.app.goo.gl/kZpH61LGfRkMrLKi6", "موقع"), "")</f>
        <v>موقع</v>
      </c>
    </row>
    <row r="113" spans="1:27" x14ac:dyDescent="0.3">
      <c r="A113" t="s">
        <v>523</v>
      </c>
      <c r="B113" s="1">
        <v>46182.512789351851</v>
      </c>
      <c r="C113" t="s">
        <v>1</v>
      </c>
      <c r="D113" t="s">
        <v>391</v>
      </c>
      <c r="E113" t="s">
        <v>447</v>
      </c>
      <c r="F113" t="s">
        <v>2005</v>
      </c>
      <c r="G113" t="s">
        <v>390</v>
      </c>
      <c r="H113" t="s">
        <v>438</v>
      </c>
      <c r="I113" t="s">
        <v>439</v>
      </c>
      <c r="J113" t="s">
        <v>524</v>
      </c>
      <c r="K113" t="s">
        <v>525</v>
      </c>
      <c r="L113">
        <v>0</v>
      </c>
      <c r="M113">
        <v>123</v>
      </c>
      <c r="N113">
        <v>29000</v>
      </c>
      <c r="O113">
        <v>32.123389000000003</v>
      </c>
      <c r="P113">
        <v>35.731250000000003</v>
      </c>
      <c r="Q113" t="s">
        <v>526</v>
      </c>
      <c r="S113" t="s">
        <v>1776</v>
      </c>
      <c r="T113" t="s">
        <v>2006</v>
      </c>
      <c r="U113" t="s">
        <v>2007</v>
      </c>
      <c r="W113" t="s">
        <v>527</v>
      </c>
      <c r="Y113" t="str">
        <f t="shared" si="6"/>
        <v/>
      </c>
      <c r="Z113" t="str">
        <f>IF(NOT("" = ""), HYPERLINK("", "جولة"), "")</f>
        <v/>
      </c>
      <c r="AA113" t="str">
        <f>IF(NOT("https://maps.app.goo.gl/PKzqrQdSNAr7rMaD6" = ""), HYPERLINK("https://maps.app.goo.gl/PKzqrQdSNAr7rMaD6", "موقع"), "")</f>
        <v>موقع</v>
      </c>
    </row>
    <row r="114" spans="1:27" x14ac:dyDescent="0.3">
      <c r="A114" t="s">
        <v>528</v>
      </c>
      <c r="B114" s="1">
        <v>46182.512789351851</v>
      </c>
      <c r="C114" t="s">
        <v>1</v>
      </c>
      <c r="D114" t="s">
        <v>391</v>
      </c>
      <c r="E114" t="s">
        <v>511</v>
      </c>
      <c r="F114" t="s">
        <v>1997</v>
      </c>
      <c r="G114" t="s">
        <v>390</v>
      </c>
      <c r="H114" t="s">
        <v>438</v>
      </c>
      <c r="I114" t="s">
        <v>469</v>
      </c>
      <c r="J114" t="s">
        <v>509</v>
      </c>
      <c r="K114" t="s">
        <v>510</v>
      </c>
      <c r="L114">
        <v>0</v>
      </c>
      <c r="M114">
        <v>998</v>
      </c>
      <c r="N114">
        <v>34000</v>
      </c>
      <c r="O114">
        <v>31.762167000000002</v>
      </c>
      <c r="P114">
        <v>35.595111000000003</v>
      </c>
      <c r="Q114" t="s">
        <v>529</v>
      </c>
      <c r="R114" t="s">
        <v>1994</v>
      </c>
      <c r="S114" t="s">
        <v>1776</v>
      </c>
      <c r="T114" t="s">
        <v>2008</v>
      </c>
      <c r="U114" t="s">
        <v>2009</v>
      </c>
      <c r="W114" t="s">
        <v>530</v>
      </c>
      <c r="Y114" t="str">
        <f t="shared" si="6"/>
        <v/>
      </c>
      <c r="Z114" t="str">
        <f>IF(NOT("https://truemarkets3d.net/3d-virtual-tour/housingbank-realestate/phase3/aq-re-100393/index.html" = ""), HYPERLINK("https://truemarkets3d.net/3d-virtual-tour/housingbank-realestate/phase3/aq-re-100393/index.html", "جولة"), "")</f>
        <v>جولة</v>
      </c>
      <c r="AA114" t="str">
        <f>IF(NOT("https://maps.app.goo.gl/ELEPRu9hwMySenZL7" = ""), HYPERLINK("https://maps.app.goo.gl/ELEPRu9hwMySenZL7", "موقع"), "")</f>
        <v>موقع</v>
      </c>
    </row>
    <row r="115" spans="1:27" x14ac:dyDescent="0.3">
      <c r="A115" t="s">
        <v>531</v>
      </c>
      <c r="B115" s="1">
        <v>46182.512789351851</v>
      </c>
      <c r="C115" t="s">
        <v>1</v>
      </c>
      <c r="D115" t="s">
        <v>391</v>
      </c>
      <c r="E115" t="s">
        <v>472</v>
      </c>
      <c r="F115" t="s">
        <v>2010</v>
      </c>
      <c r="G115" t="s">
        <v>390</v>
      </c>
      <c r="H115" t="s">
        <v>438</v>
      </c>
      <c r="I115" t="s">
        <v>469</v>
      </c>
      <c r="J115" t="s">
        <v>481</v>
      </c>
      <c r="K115" t="s">
        <v>532</v>
      </c>
      <c r="L115">
        <v>0</v>
      </c>
      <c r="M115">
        <v>362</v>
      </c>
      <c r="N115">
        <v>89000</v>
      </c>
      <c r="O115">
        <v>31.906777999999999</v>
      </c>
      <c r="P115">
        <v>35.616750000000003</v>
      </c>
      <c r="Q115" t="s">
        <v>533</v>
      </c>
      <c r="S115" t="s">
        <v>1776</v>
      </c>
      <c r="T115" t="s">
        <v>2011</v>
      </c>
      <c r="U115" t="s">
        <v>2012</v>
      </c>
      <c r="W115" t="s">
        <v>534</v>
      </c>
      <c r="Y115" t="str">
        <f t="shared" si="6"/>
        <v/>
      </c>
      <c r="Z115" t="str">
        <f t="shared" ref="Z115:Z133" si="8">IF(NOT("" = ""), HYPERLINK("", "جولة"), "")</f>
        <v/>
      </c>
      <c r="AA115" t="str">
        <f>IF(NOT("https://maps.app.goo.gl/RndMpfcw8dcJCyQn6" = ""), HYPERLINK("https://maps.app.goo.gl/RndMpfcw8dcJCyQn6", "موقع"), "")</f>
        <v>موقع</v>
      </c>
    </row>
    <row r="116" spans="1:27" x14ac:dyDescent="0.3">
      <c r="A116" t="s">
        <v>535</v>
      </c>
      <c r="B116" s="1">
        <v>46182.512789351851</v>
      </c>
      <c r="C116" t="s">
        <v>1</v>
      </c>
      <c r="D116" t="s">
        <v>54</v>
      </c>
      <c r="E116" t="s">
        <v>540</v>
      </c>
      <c r="F116" t="s">
        <v>2013</v>
      </c>
      <c r="G116" t="s">
        <v>20</v>
      </c>
      <c r="H116" t="s">
        <v>536</v>
      </c>
      <c r="I116" t="s">
        <v>537</v>
      </c>
      <c r="J116" t="s">
        <v>538</v>
      </c>
      <c r="K116" t="s">
        <v>539</v>
      </c>
      <c r="L116">
        <v>121</v>
      </c>
      <c r="M116">
        <v>139</v>
      </c>
      <c r="N116">
        <v>5000</v>
      </c>
      <c r="O116">
        <v>31.881806000000001</v>
      </c>
      <c r="P116">
        <v>36.827778000000002</v>
      </c>
      <c r="Q116" t="s">
        <v>126</v>
      </c>
      <c r="S116" t="s">
        <v>1776</v>
      </c>
      <c r="U116" t="s">
        <v>2014</v>
      </c>
      <c r="V116" t="s">
        <v>75</v>
      </c>
      <c r="W116" t="s">
        <v>541</v>
      </c>
      <c r="Y116" t="str">
        <f t="shared" si="6"/>
        <v/>
      </c>
      <c r="Z116" t="str">
        <f t="shared" si="8"/>
        <v/>
      </c>
      <c r="AA116" t="str">
        <f>IF(NOT("https://maps.app.goo.gl/Lr51HveMk3JcArJx8" = ""), HYPERLINK("https://maps.app.goo.gl/Lr51HveMk3JcArJx8", "موقع"), "")</f>
        <v>موقع</v>
      </c>
    </row>
    <row r="117" spans="1:27" x14ac:dyDescent="0.3">
      <c r="A117" t="s">
        <v>542</v>
      </c>
      <c r="B117" s="1">
        <v>46182.512789351851</v>
      </c>
      <c r="C117" t="s">
        <v>1</v>
      </c>
      <c r="D117" t="s">
        <v>54</v>
      </c>
      <c r="E117" t="s">
        <v>545</v>
      </c>
      <c r="F117" t="s">
        <v>2015</v>
      </c>
      <c r="G117" t="s">
        <v>20</v>
      </c>
      <c r="H117" t="s">
        <v>536</v>
      </c>
      <c r="I117" t="s">
        <v>537</v>
      </c>
      <c r="J117" t="s">
        <v>543</v>
      </c>
      <c r="K117" t="s">
        <v>544</v>
      </c>
      <c r="L117">
        <v>112</v>
      </c>
      <c r="M117">
        <v>482</v>
      </c>
      <c r="N117">
        <v>15000</v>
      </c>
      <c r="O117">
        <v>31.996638999999998</v>
      </c>
      <c r="P117">
        <v>36.022167000000003</v>
      </c>
      <c r="Q117" t="s">
        <v>546</v>
      </c>
      <c r="S117" t="s">
        <v>1776</v>
      </c>
      <c r="U117" t="s">
        <v>2016</v>
      </c>
      <c r="V117" t="s">
        <v>32</v>
      </c>
      <c r="W117" t="s">
        <v>547</v>
      </c>
      <c r="Y117" t="str">
        <f t="shared" si="6"/>
        <v/>
      </c>
      <c r="Z117" t="str">
        <f t="shared" si="8"/>
        <v/>
      </c>
      <c r="AA117" t="str">
        <f>IF(NOT("https://maps.app.goo.gl/Q4DrXSo4TcHdgM757" = ""), HYPERLINK("https://maps.app.goo.gl/Q4DrXSo4TcHdgM757", "موقع"), "")</f>
        <v>موقع</v>
      </c>
    </row>
    <row r="118" spans="1:27" x14ac:dyDescent="0.3">
      <c r="A118" t="s">
        <v>548</v>
      </c>
      <c r="B118" s="1">
        <v>46182.512789351851</v>
      </c>
      <c r="C118" t="s">
        <v>1</v>
      </c>
      <c r="D118" t="s">
        <v>54</v>
      </c>
      <c r="E118" t="s">
        <v>551</v>
      </c>
      <c r="F118" t="s">
        <v>2017</v>
      </c>
      <c r="G118" t="s">
        <v>20</v>
      </c>
      <c r="H118" t="s">
        <v>536</v>
      </c>
      <c r="I118" t="s">
        <v>537</v>
      </c>
      <c r="J118" t="s">
        <v>549</v>
      </c>
      <c r="K118" t="s">
        <v>550</v>
      </c>
      <c r="L118">
        <v>121</v>
      </c>
      <c r="M118">
        <v>616</v>
      </c>
      <c r="N118">
        <v>17000</v>
      </c>
      <c r="O118">
        <v>32.130443999999997</v>
      </c>
      <c r="P118">
        <v>36.118082999999999</v>
      </c>
      <c r="Q118" t="s">
        <v>115</v>
      </c>
      <c r="S118" t="s">
        <v>1776</v>
      </c>
      <c r="U118" t="s">
        <v>2018</v>
      </c>
      <c r="V118" t="s">
        <v>75</v>
      </c>
      <c r="W118" t="s">
        <v>552</v>
      </c>
      <c r="Y118" t="str">
        <f t="shared" si="6"/>
        <v/>
      </c>
      <c r="Z118" t="str">
        <f t="shared" si="8"/>
        <v/>
      </c>
      <c r="AA118" t="str">
        <f>IF(NOT("https://maps.app.goo.gl/Vofq87D3rfv8wWtp8" = ""), HYPERLINK("https://maps.app.goo.gl/Vofq87D3rfv8wWtp8", "موقع"), "")</f>
        <v>موقع</v>
      </c>
    </row>
    <row r="119" spans="1:27" x14ac:dyDescent="0.3">
      <c r="A119" t="s">
        <v>553</v>
      </c>
      <c r="B119" s="1">
        <v>46182.512789351851</v>
      </c>
      <c r="C119" t="s">
        <v>1</v>
      </c>
      <c r="D119" t="s">
        <v>54</v>
      </c>
      <c r="E119" t="s">
        <v>556</v>
      </c>
      <c r="F119" t="s">
        <v>2019</v>
      </c>
      <c r="G119" t="s">
        <v>20</v>
      </c>
      <c r="H119" t="s">
        <v>536</v>
      </c>
      <c r="I119" t="s">
        <v>537</v>
      </c>
      <c r="J119" t="s">
        <v>554</v>
      </c>
      <c r="K119" t="s">
        <v>555</v>
      </c>
      <c r="L119">
        <v>113</v>
      </c>
      <c r="M119">
        <v>908</v>
      </c>
      <c r="N119">
        <v>19000</v>
      </c>
      <c r="O119">
        <v>32.060639000000002</v>
      </c>
      <c r="P119">
        <v>36.125416999999999</v>
      </c>
      <c r="Q119" t="s">
        <v>557</v>
      </c>
      <c r="S119" t="s">
        <v>1776</v>
      </c>
      <c r="U119" t="s">
        <v>2020</v>
      </c>
      <c r="V119" t="s">
        <v>32</v>
      </c>
      <c r="W119" t="s">
        <v>558</v>
      </c>
      <c r="Y119" t="str">
        <f t="shared" si="6"/>
        <v/>
      </c>
      <c r="Z119" t="str">
        <f t="shared" si="8"/>
        <v/>
      </c>
      <c r="AA119" t="str">
        <f>IF(NOT("https://maps.app.goo.gl/q8WZkNESRigaBnKe6" = ""), HYPERLINK("https://maps.app.goo.gl/q8WZkNESRigaBnKe6", "موقع"), "")</f>
        <v>موقع</v>
      </c>
    </row>
    <row r="120" spans="1:27" x14ac:dyDescent="0.3">
      <c r="A120" t="s">
        <v>559</v>
      </c>
      <c r="B120" s="1">
        <v>46182.512789351851</v>
      </c>
      <c r="C120" t="s">
        <v>1</v>
      </c>
      <c r="D120" t="s">
        <v>54</v>
      </c>
      <c r="E120" t="s">
        <v>562</v>
      </c>
      <c r="F120" t="s">
        <v>2021</v>
      </c>
      <c r="G120" t="s">
        <v>20</v>
      </c>
      <c r="H120" t="s">
        <v>536</v>
      </c>
      <c r="I120" t="s">
        <v>537</v>
      </c>
      <c r="J120" t="s">
        <v>560</v>
      </c>
      <c r="K120" t="s">
        <v>561</v>
      </c>
      <c r="L120">
        <v>101</v>
      </c>
      <c r="M120">
        <v>701</v>
      </c>
      <c r="N120">
        <v>19000</v>
      </c>
      <c r="O120">
        <v>32.037638999999999</v>
      </c>
      <c r="P120">
        <v>36.091861000000002</v>
      </c>
      <c r="Q120" t="s">
        <v>563</v>
      </c>
      <c r="S120" t="s">
        <v>1776</v>
      </c>
      <c r="U120" t="s">
        <v>2022</v>
      </c>
      <c r="V120" t="s">
        <v>41</v>
      </c>
      <c r="W120" t="s">
        <v>564</v>
      </c>
      <c r="Y120" t="str">
        <f t="shared" si="6"/>
        <v/>
      </c>
      <c r="Z120" t="str">
        <f t="shared" si="8"/>
        <v/>
      </c>
      <c r="AA120" t="str">
        <f>IF(NOT("https://maps.app.goo.gl/owQLz47UghAyxTwP9" = ""), HYPERLINK("https://maps.app.goo.gl/owQLz47UghAyxTwP9", "موقع"), "")</f>
        <v>موقع</v>
      </c>
    </row>
    <row r="121" spans="1:27" x14ac:dyDescent="0.3">
      <c r="A121" t="s">
        <v>565</v>
      </c>
      <c r="B121" s="1">
        <v>46182.512789351851</v>
      </c>
      <c r="C121" t="s">
        <v>1</v>
      </c>
      <c r="D121" t="s">
        <v>54</v>
      </c>
      <c r="E121" t="s">
        <v>568</v>
      </c>
      <c r="F121" t="s">
        <v>2023</v>
      </c>
      <c r="G121" t="s">
        <v>20</v>
      </c>
      <c r="H121" t="s">
        <v>536</v>
      </c>
      <c r="I121" t="s">
        <v>537</v>
      </c>
      <c r="J121" t="s">
        <v>566</v>
      </c>
      <c r="K121" t="s">
        <v>567</v>
      </c>
      <c r="L121">
        <v>111</v>
      </c>
      <c r="M121">
        <v>1932</v>
      </c>
      <c r="N121">
        <v>19000</v>
      </c>
      <c r="O121">
        <v>32.050417000000003</v>
      </c>
      <c r="P121">
        <v>36.061943999999997</v>
      </c>
      <c r="Q121" t="s">
        <v>569</v>
      </c>
      <c r="S121" t="s">
        <v>1776</v>
      </c>
      <c r="U121" t="s">
        <v>2024</v>
      </c>
      <c r="V121" t="s">
        <v>32</v>
      </c>
      <c r="W121" t="s">
        <v>570</v>
      </c>
      <c r="Y121" t="str">
        <f t="shared" si="6"/>
        <v/>
      </c>
      <c r="Z121" t="str">
        <f t="shared" si="8"/>
        <v/>
      </c>
      <c r="AA121" t="str">
        <f>IF(NOT("https://maps.app.goo.gl/h9vkGZTUK3shCgVa7" = ""), HYPERLINK("https://maps.app.goo.gl/h9vkGZTUK3shCgVa7", "موقع"), "")</f>
        <v>موقع</v>
      </c>
    </row>
    <row r="122" spans="1:27" x14ac:dyDescent="0.3">
      <c r="A122" t="s">
        <v>571</v>
      </c>
      <c r="B122" s="1">
        <v>46182.512789351851</v>
      </c>
      <c r="C122" t="s">
        <v>1</v>
      </c>
      <c r="D122" t="s">
        <v>54</v>
      </c>
      <c r="E122" t="s">
        <v>545</v>
      </c>
      <c r="F122" t="s">
        <v>2025</v>
      </c>
      <c r="G122" t="s">
        <v>20</v>
      </c>
      <c r="H122" t="s">
        <v>536</v>
      </c>
      <c r="I122" t="s">
        <v>537</v>
      </c>
      <c r="J122" t="s">
        <v>543</v>
      </c>
      <c r="K122" t="s">
        <v>544</v>
      </c>
      <c r="L122">
        <v>113</v>
      </c>
      <c r="M122">
        <v>482</v>
      </c>
      <c r="N122">
        <v>20000</v>
      </c>
      <c r="O122">
        <v>31.996638999999998</v>
      </c>
      <c r="P122">
        <v>36.022167000000003</v>
      </c>
      <c r="Q122" t="s">
        <v>572</v>
      </c>
      <c r="S122" t="s">
        <v>1776</v>
      </c>
      <c r="U122" t="s">
        <v>2016</v>
      </c>
      <c r="V122" t="s">
        <v>32</v>
      </c>
      <c r="W122" t="s">
        <v>573</v>
      </c>
      <c r="Y122" t="str">
        <f t="shared" si="6"/>
        <v/>
      </c>
      <c r="Z122" t="str">
        <f t="shared" si="8"/>
        <v/>
      </c>
      <c r="AA122" t="str">
        <f>IF(NOT("https://maps.app.goo.gl/Q4DrXSo4TcHdgM757" = ""), HYPERLINK("https://maps.app.goo.gl/Q4DrXSo4TcHdgM757", "موقع"), "")</f>
        <v>موقع</v>
      </c>
    </row>
    <row r="123" spans="1:27" x14ac:dyDescent="0.3">
      <c r="A123" t="s">
        <v>574</v>
      </c>
      <c r="B123" s="1">
        <v>46182.512789351851</v>
      </c>
      <c r="C123" t="s">
        <v>1</v>
      </c>
      <c r="D123" t="s">
        <v>54</v>
      </c>
      <c r="E123" t="s">
        <v>562</v>
      </c>
      <c r="F123" t="s">
        <v>2026</v>
      </c>
      <c r="G123" t="s">
        <v>20</v>
      </c>
      <c r="H123" t="s">
        <v>536</v>
      </c>
      <c r="I123" t="s">
        <v>537</v>
      </c>
      <c r="J123" t="s">
        <v>560</v>
      </c>
      <c r="K123" t="s">
        <v>561</v>
      </c>
      <c r="L123">
        <v>113</v>
      </c>
      <c r="M123">
        <v>701</v>
      </c>
      <c r="N123">
        <v>21000</v>
      </c>
      <c r="O123">
        <v>32.041694</v>
      </c>
      <c r="P123">
        <v>36.099972000000001</v>
      </c>
      <c r="Q123" t="s">
        <v>563</v>
      </c>
      <c r="S123" t="s">
        <v>1776</v>
      </c>
      <c r="U123" t="s">
        <v>2027</v>
      </c>
      <c r="V123" t="s">
        <v>32</v>
      </c>
      <c r="W123" t="s">
        <v>575</v>
      </c>
      <c r="Y123" t="str">
        <f t="shared" si="6"/>
        <v/>
      </c>
      <c r="Z123" t="str">
        <f t="shared" si="8"/>
        <v/>
      </c>
      <c r="AA123" t="str">
        <f>IF(NOT("https://maps.app.goo.gl/kSmHhrt5qJAVUmas7" = ""), HYPERLINK("https://maps.app.goo.gl/kSmHhrt5qJAVUmas7", "موقع"), "")</f>
        <v>موقع</v>
      </c>
    </row>
    <row r="124" spans="1:27" x14ac:dyDescent="0.3">
      <c r="A124" t="s">
        <v>576</v>
      </c>
      <c r="B124" s="1">
        <v>46182.512789351851</v>
      </c>
      <c r="C124" t="s">
        <v>1</v>
      </c>
      <c r="D124" t="s">
        <v>54</v>
      </c>
      <c r="E124" t="s">
        <v>556</v>
      </c>
      <c r="F124" t="s">
        <v>2028</v>
      </c>
      <c r="G124" t="s">
        <v>20</v>
      </c>
      <c r="H124" t="s">
        <v>536</v>
      </c>
      <c r="I124" t="s">
        <v>537</v>
      </c>
      <c r="J124" t="s">
        <v>554</v>
      </c>
      <c r="K124" t="s">
        <v>555</v>
      </c>
      <c r="L124">
        <v>114</v>
      </c>
      <c r="M124">
        <v>880</v>
      </c>
      <c r="N124">
        <v>22000</v>
      </c>
      <c r="O124">
        <v>32.061360999999998</v>
      </c>
      <c r="P124">
        <v>36.126083000000001</v>
      </c>
      <c r="Q124" t="s">
        <v>572</v>
      </c>
      <c r="S124" t="s">
        <v>1776</v>
      </c>
      <c r="U124" t="s">
        <v>2029</v>
      </c>
      <c r="V124" t="s">
        <v>32</v>
      </c>
      <c r="W124" t="s">
        <v>577</v>
      </c>
      <c r="Y124" t="str">
        <f t="shared" si="6"/>
        <v/>
      </c>
      <c r="Z124" t="str">
        <f t="shared" si="8"/>
        <v/>
      </c>
      <c r="AA124" t="str">
        <f>IF(NOT("https://maps.app.goo.gl/wx7BCUua3V5JrTFD7" = ""), HYPERLINK("https://maps.app.goo.gl/wx7BCUua3V5JrTFD7", "موقع"), "")</f>
        <v>موقع</v>
      </c>
    </row>
    <row r="125" spans="1:27" x14ac:dyDescent="0.3">
      <c r="A125" t="s">
        <v>578</v>
      </c>
      <c r="B125" s="1">
        <v>46182.512789351851</v>
      </c>
      <c r="C125" t="s">
        <v>1</v>
      </c>
      <c r="D125" t="s">
        <v>54</v>
      </c>
      <c r="E125" t="s">
        <v>556</v>
      </c>
      <c r="F125" t="s">
        <v>2030</v>
      </c>
      <c r="G125" t="s">
        <v>20</v>
      </c>
      <c r="H125" t="s">
        <v>536</v>
      </c>
      <c r="I125" t="s">
        <v>537</v>
      </c>
      <c r="J125" t="s">
        <v>554</v>
      </c>
      <c r="K125" t="s">
        <v>555</v>
      </c>
      <c r="L125">
        <v>104</v>
      </c>
      <c r="M125">
        <v>936</v>
      </c>
      <c r="N125">
        <v>23000</v>
      </c>
      <c r="O125">
        <v>32.058999999999997</v>
      </c>
      <c r="P125">
        <v>36.114305999999999</v>
      </c>
      <c r="Q125" t="s">
        <v>579</v>
      </c>
      <c r="S125" t="s">
        <v>1776</v>
      </c>
      <c r="U125" t="s">
        <v>2031</v>
      </c>
      <c r="V125" t="s">
        <v>41</v>
      </c>
      <c r="W125" t="s">
        <v>580</v>
      </c>
      <c r="Y125" t="str">
        <f t="shared" si="6"/>
        <v/>
      </c>
      <c r="Z125" t="str">
        <f t="shared" si="8"/>
        <v/>
      </c>
      <c r="AA125" t="str">
        <f>IF(NOT("https://maps.app.goo.gl/LhEUMhhPFrEyAu7o7" = ""), HYPERLINK("https://maps.app.goo.gl/LhEUMhhPFrEyAu7o7", "موقع"), "")</f>
        <v>موقع</v>
      </c>
    </row>
    <row r="126" spans="1:27" x14ac:dyDescent="0.3">
      <c r="A126" t="s">
        <v>581</v>
      </c>
      <c r="B126" s="1">
        <v>46182.512789351851</v>
      </c>
      <c r="C126" t="s">
        <v>1</v>
      </c>
      <c r="D126" t="s">
        <v>54</v>
      </c>
      <c r="E126" t="s">
        <v>556</v>
      </c>
      <c r="F126" t="s">
        <v>2032</v>
      </c>
      <c r="G126" t="s">
        <v>20</v>
      </c>
      <c r="H126" t="s">
        <v>536</v>
      </c>
      <c r="I126" t="s">
        <v>537</v>
      </c>
      <c r="J126" t="s">
        <v>554</v>
      </c>
      <c r="K126" t="s">
        <v>555</v>
      </c>
      <c r="L126">
        <v>121</v>
      </c>
      <c r="M126">
        <v>871</v>
      </c>
      <c r="N126">
        <v>23000</v>
      </c>
      <c r="O126">
        <v>32.062556000000001</v>
      </c>
      <c r="P126">
        <v>36.123139000000002</v>
      </c>
      <c r="Q126" t="s">
        <v>582</v>
      </c>
      <c r="S126" t="s">
        <v>1776</v>
      </c>
      <c r="U126" t="s">
        <v>2033</v>
      </c>
      <c r="V126" t="s">
        <v>75</v>
      </c>
      <c r="W126" t="s">
        <v>583</v>
      </c>
      <c r="Y126" t="str">
        <f t="shared" si="6"/>
        <v/>
      </c>
      <c r="Z126" t="str">
        <f t="shared" si="8"/>
        <v/>
      </c>
      <c r="AA126" t="str">
        <f>IF(NOT("https://maps.app.goo.gl/5GeiL9KaKbAcKz6CA" = ""), HYPERLINK("https://maps.app.goo.gl/5GeiL9KaKbAcKz6CA", "موقع"), "")</f>
        <v>موقع</v>
      </c>
    </row>
    <row r="127" spans="1:27" x14ac:dyDescent="0.3">
      <c r="A127" t="s">
        <v>584</v>
      </c>
      <c r="B127" s="1">
        <v>46182.512789351851</v>
      </c>
      <c r="C127" t="s">
        <v>1</v>
      </c>
      <c r="D127" t="s">
        <v>54</v>
      </c>
      <c r="E127" t="s">
        <v>556</v>
      </c>
      <c r="F127" t="s">
        <v>2034</v>
      </c>
      <c r="G127" t="s">
        <v>20</v>
      </c>
      <c r="H127" t="s">
        <v>536</v>
      </c>
      <c r="I127" t="s">
        <v>537</v>
      </c>
      <c r="J127" t="s">
        <v>554</v>
      </c>
      <c r="K127" t="s">
        <v>555</v>
      </c>
      <c r="L127">
        <v>124</v>
      </c>
      <c r="M127">
        <v>924</v>
      </c>
      <c r="N127">
        <v>23000</v>
      </c>
      <c r="O127">
        <v>32.059694</v>
      </c>
      <c r="P127">
        <v>36.123694</v>
      </c>
      <c r="Q127" t="s">
        <v>579</v>
      </c>
      <c r="S127" t="s">
        <v>1776</v>
      </c>
      <c r="U127" t="s">
        <v>2035</v>
      </c>
      <c r="V127" t="s">
        <v>75</v>
      </c>
      <c r="W127" t="s">
        <v>585</v>
      </c>
      <c r="Y127" t="str">
        <f t="shared" si="6"/>
        <v/>
      </c>
      <c r="Z127" t="str">
        <f t="shared" si="8"/>
        <v/>
      </c>
      <c r="AA127" t="str">
        <f>IF(NOT("https://maps.app.goo.gl/CaAziHTC1ykb6X9UA" = ""), HYPERLINK("https://maps.app.goo.gl/CaAziHTC1ykb6X9UA", "موقع"), "")</f>
        <v>موقع</v>
      </c>
    </row>
    <row r="128" spans="1:27" x14ac:dyDescent="0.3">
      <c r="A128" t="s">
        <v>586</v>
      </c>
      <c r="B128" s="1">
        <v>46182.512789351851</v>
      </c>
      <c r="C128" t="s">
        <v>1</v>
      </c>
      <c r="D128" t="s">
        <v>54</v>
      </c>
      <c r="E128" t="s">
        <v>556</v>
      </c>
      <c r="F128" t="s">
        <v>2036</v>
      </c>
      <c r="G128" t="s">
        <v>20</v>
      </c>
      <c r="H128" t="s">
        <v>536</v>
      </c>
      <c r="I128" t="s">
        <v>537</v>
      </c>
      <c r="J128" t="s">
        <v>554</v>
      </c>
      <c r="K128" t="s">
        <v>555</v>
      </c>
      <c r="L128">
        <v>113</v>
      </c>
      <c r="M128">
        <v>881</v>
      </c>
      <c r="N128">
        <v>24000</v>
      </c>
      <c r="Q128" t="s">
        <v>572</v>
      </c>
      <c r="S128" t="s">
        <v>1776</v>
      </c>
      <c r="V128" t="s">
        <v>32</v>
      </c>
      <c r="W128" t="s">
        <v>587</v>
      </c>
      <c r="Y128" t="str">
        <f t="shared" ref="Y128:Y159" si="9">IF(NOT("" = ""), HYPERLINK("", "فيديو"), "")</f>
        <v/>
      </c>
      <c r="Z128" t="str">
        <f t="shared" si="8"/>
        <v/>
      </c>
      <c r="AA128" t="str">
        <f>IF(NOT("" = ""), HYPERLINK("", "موقع"), "")</f>
        <v/>
      </c>
    </row>
    <row r="129" spans="1:27" x14ac:dyDescent="0.3">
      <c r="A129" t="s">
        <v>588</v>
      </c>
      <c r="B129" s="1">
        <v>46182.512789351851</v>
      </c>
      <c r="C129" t="s">
        <v>1</v>
      </c>
      <c r="D129" t="s">
        <v>54</v>
      </c>
      <c r="E129" t="s">
        <v>591</v>
      </c>
      <c r="F129" t="s">
        <v>2037</v>
      </c>
      <c r="G129" t="s">
        <v>20</v>
      </c>
      <c r="H129" t="s">
        <v>536</v>
      </c>
      <c r="I129" t="s">
        <v>537</v>
      </c>
      <c r="J129" t="s">
        <v>589</v>
      </c>
      <c r="K129" t="s">
        <v>590</v>
      </c>
      <c r="L129">
        <v>-101</v>
      </c>
      <c r="M129">
        <v>4257</v>
      </c>
      <c r="N129">
        <v>26000</v>
      </c>
      <c r="O129">
        <v>32.095166999999996</v>
      </c>
      <c r="P129">
        <v>36.103389</v>
      </c>
      <c r="Q129" t="s">
        <v>62</v>
      </c>
      <c r="S129" t="s">
        <v>1776</v>
      </c>
      <c r="U129" t="s">
        <v>2038</v>
      </c>
      <c r="V129" t="s">
        <v>27</v>
      </c>
      <c r="W129" t="s">
        <v>592</v>
      </c>
      <c r="Y129" t="str">
        <f t="shared" si="9"/>
        <v/>
      </c>
      <c r="Z129" t="str">
        <f t="shared" si="8"/>
        <v/>
      </c>
      <c r="AA129" t="str">
        <f>IF(NOT("https://maps.app.goo.gl/pBfKHzuy9FCiy7SL6" = ""), HYPERLINK("https://maps.app.goo.gl/pBfKHzuy9FCiy7SL6", "موقع"), "")</f>
        <v>موقع</v>
      </c>
    </row>
    <row r="130" spans="1:27" x14ac:dyDescent="0.3">
      <c r="A130" t="s">
        <v>593</v>
      </c>
      <c r="B130" s="1">
        <v>46182.512789351851</v>
      </c>
      <c r="C130" t="s">
        <v>1</v>
      </c>
      <c r="D130" t="s">
        <v>54</v>
      </c>
      <c r="E130" t="s">
        <v>591</v>
      </c>
      <c r="F130" t="s">
        <v>2039</v>
      </c>
      <c r="G130" t="s">
        <v>20</v>
      </c>
      <c r="H130" t="s">
        <v>536</v>
      </c>
      <c r="I130" t="s">
        <v>537</v>
      </c>
      <c r="J130" t="s">
        <v>589</v>
      </c>
      <c r="K130" t="s">
        <v>590</v>
      </c>
      <c r="L130">
        <v>122</v>
      </c>
      <c r="M130">
        <v>10322</v>
      </c>
      <c r="N130">
        <v>28000</v>
      </c>
      <c r="O130">
        <v>32.094389</v>
      </c>
      <c r="P130">
        <v>36.101388999999998</v>
      </c>
      <c r="Q130" t="s">
        <v>115</v>
      </c>
      <c r="S130" t="s">
        <v>1776</v>
      </c>
      <c r="U130" t="s">
        <v>2040</v>
      </c>
      <c r="V130" t="s">
        <v>75</v>
      </c>
      <c r="W130" t="s">
        <v>594</v>
      </c>
      <c r="Y130" t="str">
        <f t="shared" si="9"/>
        <v/>
      </c>
      <c r="Z130" t="str">
        <f t="shared" si="8"/>
        <v/>
      </c>
      <c r="AA130" t="str">
        <f>IF(NOT("https://maps.app.goo.gl/xwKUBLp2ahJEjVGXA" = ""), HYPERLINK("https://maps.app.goo.gl/xwKUBLp2ahJEjVGXA", "موقع"), "")</f>
        <v>موقع</v>
      </c>
    </row>
    <row r="131" spans="1:27" x14ac:dyDescent="0.3">
      <c r="A131" t="s">
        <v>595</v>
      </c>
      <c r="B131" s="1">
        <v>46182.512789351851</v>
      </c>
      <c r="C131" t="s">
        <v>1</v>
      </c>
      <c r="D131" t="s">
        <v>54</v>
      </c>
      <c r="E131" t="s">
        <v>596</v>
      </c>
      <c r="F131" t="s">
        <v>2041</v>
      </c>
      <c r="G131" t="s">
        <v>20</v>
      </c>
      <c r="H131" t="s">
        <v>536</v>
      </c>
      <c r="I131" t="s">
        <v>537</v>
      </c>
      <c r="J131" t="s">
        <v>543</v>
      </c>
      <c r="K131" t="s">
        <v>544</v>
      </c>
      <c r="L131">
        <v>131</v>
      </c>
      <c r="M131">
        <v>3081</v>
      </c>
      <c r="N131">
        <v>29000</v>
      </c>
      <c r="O131">
        <v>31.980582999999999</v>
      </c>
      <c r="P131">
        <v>36.023305999999998</v>
      </c>
      <c r="Q131" t="s">
        <v>62</v>
      </c>
      <c r="S131" t="s">
        <v>1776</v>
      </c>
      <c r="U131" t="s">
        <v>2042</v>
      </c>
      <c r="V131" t="s">
        <v>50</v>
      </c>
      <c r="W131" t="s">
        <v>597</v>
      </c>
      <c r="Y131" t="str">
        <f t="shared" si="9"/>
        <v/>
      </c>
      <c r="Z131" t="str">
        <f t="shared" si="8"/>
        <v/>
      </c>
      <c r="AA131" t="str">
        <f>IF(NOT("https://maps.app.goo.gl/FLwiycD3vFThcT359" = ""), HYPERLINK("https://maps.app.goo.gl/FLwiycD3vFThcT359", "موقع"), "")</f>
        <v>موقع</v>
      </c>
    </row>
    <row r="132" spans="1:27" x14ac:dyDescent="0.3">
      <c r="A132" t="s">
        <v>598</v>
      </c>
      <c r="B132" s="1">
        <v>46182.512789351851</v>
      </c>
      <c r="C132" t="s">
        <v>1</v>
      </c>
      <c r="D132" t="s">
        <v>54</v>
      </c>
      <c r="E132" t="s">
        <v>600</v>
      </c>
      <c r="F132" t="s">
        <v>2043</v>
      </c>
      <c r="G132" t="s">
        <v>20</v>
      </c>
      <c r="H132" t="s">
        <v>536</v>
      </c>
      <c r="I132" t="s">
        <v>537</v>
      </c>
      <c r="J132" t="s">
        <v>589</v>
      </c>
      <c r="K132" t="s">
        <v>599</v>
      </c>
      <c r="L132">
        <v>133</v>
      </c>
      <c r="M132">
        <v>5767</v>
      </c>
      <c r="N132">
        <v>30000</v>
      </c>
      <c r="Q132" t="s">
        <v>601</v>
      </c>
      <c r="S132" t="s">
        <v>1776</v>
      </c>
      <c r="V132" t="s">
        <v>50</v>
      </c>
      <c r="W132" t="s">
        <v>602</v>
      </c>
      <c r="Y132" t="str">
        <f t="shared" si="9"/>
        <v/>
      </c>
      <c r="Z132" t="str">
        <f t="shared" si="8"/>
        <v/>
      </c>
      <c r="AA132" t="str">
        <f>IF(NOT("" = ""), HYPERLINK("", "موقع"), "")</f>
        <v/>
      </c>
    </row>
    <row r="133" spans="1:27" x14ac:dyDescent="0.3">
      <c r="A133" t="s">
        <v>603</v>
      </c>
      <c r="B133" s="1">
        <v>46182.512789351851</v>
      </c>
      <c r="C133" t="s">
        <v>1</v>
      </c>
      <c r="D133" t="s">
        <v>54</v>
      </c>
      <c r="E133" t="s">
        <v>606</v>
      </c>
      <c r="F133" t="s">
        <v>2044</v>
      </c>
      <c r="G133" t="s">
        <v>20</v>
      </c>
      <c r="H133" t="s">
        <v>536</v>
      </c>
      <c r="I133" t="s">
        <v>537</v>
      </c>
      <c r="J133" t="s">
        <v>604</v>
      </c>
      <c r="K133" t="s">
        <v>605</v>
      </c>
      <c r="L133">
        <v>111</v>
      </c>
      <c r="M133">
        <v>279</v>
      </c>
      <c r="N133">
        <v>31000</v>
      </c>
      <c r="O133">
        <v>32.135416999999997</v>
      </c>
      <c r="P133">
        <v>36.074694000000001</v>
      </c>
      <c r="Q133" t="s">
        <v>607</v>
      </c>
      <c r="S133" t="s">
        <v>1776</v>
      </c>
      <c r="U133" t="s">
        <v>2045</v>
      </c>
      <c r="V133" t="s">
        <v>32</v>
      </c>
      <c r="W133" t="s">
        <v>608</v>
      </c>
      <c r="Y133" t="str">
        <f t="shared" si="9"/>
        <v/>
      </c>
      <c r="Z133" t="str">
        <f t="shared" si="8"/>
        <v/>
      </c>
      <c r="AA133" t="str">
        <f>IF(NOT("https://maps.app.goo.gl/sKYmv21vEuW86YAH9" = ""), HYPERLINK("https://maps.app.goo.gl/sKYmv21vEuW86YAH9", "موقع"), "")</f>
        <v>موقع</v>
      </c>
    </row>
    <row r="134" spans="1:27" x14ac:dyDescent="0.3">
      <c r="A134" t="s">
        <v>609</v>
      </c>
      <c r="B134" s="1">
        <v>46182.512789351851</v>
      </c>
      <c r="C134" t="s">
        <v>1</v>
      </c>
      <c r="D134" t="s">
        <v>54</v>
      </c>
      <c r="E134" t="s">
        <v>596</v>
      </c>
      <c r="F134" t="s">
        <v>2046</v>
      </c>
      <c r="G134" t="s">
        <v>20</v>
      </c>
      <c r="H134" t="s">
        <v>536</v>
      </c>
      <c r="I134" t="s">
        <v>537</v>
      </c>
      <c r="J134" t="s">
        <v>543</v>
      </c>
      <c r="K134" t="s">
        <v>544</v>
      </c>
      <c r="L134">
        <v>132</v>
      </c>
      <c r="M134">
        <v>3081</v>
      </c>
      <c r="N134">
        <v>31000</v>
      </c>
      <c r="O134">
        <v>31.980582999999999</v>
      </c>
      <c r="P134">
        <v>36.023305999999998</v>
      </c>
      <c r="Q134" t="s">
        <v>62</v>
      </c>
      <c r="R134" t="s">
        <v>2047</v>
      </c>
      <c r="S134" t="s">
        <v>1828</v>
      </c>
      <c r="U134" t="s">
        <v>2042</v>
      </c>
      <c r="V134" t="s">
        <v>50</v>
      </c>
      <c r="W134" t="s">
        <v>610</v>
      </c>
      <c r="Y134" t="str">
        <f t="shared" si="9"/>
        <v/>
      </c>
      <c r="Z134" t="str">
        <f>IF(NOT("https://truemarkets3d.net/3d-virtual-tour/housingbank-realestate/phase3/aq-re-100026/index.html" = ""), HYPERLINK("https://truemarkets3d.net/3d-virtual-tour/housingbank-realestate/phase3/aq-re-100026/index.html", "جولة"), "")</f>
        <v>جولة</v>
      </c>
      <c r="AA134" t="str">
        <f>IF(NOT("https://maps.app.goo.gl/FLwiycD3vFThcT359" = ""), HYPERLINK("https://maps.app.goo.gl/FLwiycD3vFThcT359", "موقع"), "")</f>
        <v>موقع</v>
      </c>
    </row>
    <row r="135" spans="1:27" x14ac:dyDescent="0.3">
      <c r="A135" t="s">
        <v>611</v>
      </c>
      <c r="B135" s="1">
        <v>46182.512789351851</v>
      </c>
      <c r="C135" t="s">
        <v>1</v>
      </c>
      <c r="D135" t="s">
        <v>54</v>
      </c>
      <c r="E135" t="s">
        <v>591</v>
      </c>
      <c r="F135" t="s">
        <v>2048</v>
      </c>
      <c r="G135" t="s">
        <v>20</v>
      </c>
      <c r="H135" t="s">
        <v>536</v>
      </c>
      <c r="I135" t="s">
        <v>537</v>
      </c>
      <c r="J135" t="s">
        <v>589</v>
      </c>
      <c r="K135" t="s">
        <v>599</v>
      </c>
      <c r="L135">
        <v>113</v>
      </c>
      <c r="M135">
        <v>4361</v>
      </c>
      <c r="N135">
        <v>34000</v>
      </c>
      <c r="Q135" t="s">
        <v>174</v>
      </c>
      <c r="S135" t="s">
        <v>1776</v>
      </c>
      <c r="V135" t="s">
        <v>32</v>
      </c>
      <c r="W135" t="s">
        <v>612</v>
      </c>
      <c r="Y135" t="str">
        <f t="shared" si="9"/>
        <v/>
      </c>
      <c r="Z135" t="str">
        <f t="shared" ref="Z135:Z157" si="10">IF(NOT("" = ""), HYPERLINK("", "جولة"), "")</f>
        <v/>
      </c>
      <c r="AA135" t="str">
        <f>IF(NOT("" = ""), HYPERLINK("", "موقع"), "")</f>
        <v/>
      </c>
    </row>
    <row r="136" spans="1:27" x14ac:dyDescent="0.3">
      <c r="A136" t="s">
        <v>613</v>
      </c>
      <c r="B136" s="1">
        <v>46182.512789351851</v>
      </c>
      <c r="C136" t="s">
        <v>1</v>
      </c>
      <c r="D136" t="s">
        <v>54</v>
      </c>
      <c r="E136" t="s">
        <v>591</v>
      </c>
      <c r="F136" t="s">
        <v>2049</v>
      </c>
      <c r="G136" t="s">
        <v>20</v>
      </c>
      <c r="H136" t="s">
        <v>536</v>
      </c>
      <c r="I136" t="s">
        <v>537</v>
      </c>
      <c r="J136" t="s">
        <v>589</v>
      </c>
      <c r="K136" t="s">
        <v>590</v>
      </c>
      <c r="L136">
        <v>231</v>
      </c>
      <c r="M136">
        <v>2078</v>
      </c>
      <c r="N136">
        <v>36000</v>
      </c>
      <c r="Q136" t="s">
        <v>134</v>
      </c>
      <c r="S136" t="s">
        <v>1776</v>
      </c>
      <c r="V136" t="s">
        <v>32</v>
      </c>
      <c r="W136" t="s">
        <v>614</v>
      </c>
      <c r="Y136" t="str">
        <f t="shared" si="9"/>
        <v/>
      </c>
      <c r="Z136" t="str">
        <f t="shared" si="10"/>
        <v/>
      </c>
      <c r="AA136" t="str">
        <f>IF(NOT("" = ""), HYPERLINK("", "موقع"), "")</f>
        <v/>
      </c>
    </row>
    <row r="137" spans="1:27" x14ac:dyDescent="0.3">
      <c r="A137" t="s">
        <v>615</v>
      </c>
      <c r="B137" s="1">
        <v>46182.512789351851</v>
      </c>
      <c r="C137" t="s">
        <v>1</v>
      </c>
      <c r="D137" t="s">
        <v>54</v>
      </c>
      <c r="E137" t="s">
        <v>562</v>
      </c>
      <c r="F137" t="s">
        <v>2050</v>
      </c>
      <c r="G137" t="s">
        <v>20</v>
      </c>
      <c r="H137" t="s">
        <v>536</v>
      </c>
      <c r="I137" t="s">
        <v>537</v>
      </c>
      <c r="J137" t="s">
        <v>560</v>
      </c>
      <c r="K137" t="s">
        <v>561</v>
      </c>
      <c r="L137">
        <v>111</v>
      </c>
      <c r="M137">
        <v>2839</v>
      </c>
      <c r="N137">
        <v>37000</v>
      </c>
      <c r="O137">
        <v>32.042499999999997</v>
      </c>
      <c r="P137">
        <v>36.102471999999999</v>
      </c>
      <c r="Q137" t="s">
        <v>616</v>
      </c>
      <c r="S137" t="s">
        <v>1776</v>
      </c>
      <c r="U137" t="s">
        <v>2051</v>
      </c>
      <c r="V137" t="s">
        <v>32</v>
      </c>
      <c r="W137" t="s">
        <v>617</v>
      </c>
      <c r="Y137" t="str">
        <f t="shared" si="9"/>
        <v/>
      </c>
      <c r="Z137" t="str">
        <f t="shared" si="10"/>
        <v/>
      </c>
      <c r="AA137" t="str">
        <f>IF(NOT("https://maps.app.goo.gl/EtWrAhRRgQJmyjMW9" = ""), HYPERLINK("https://maps.app.goo.gl/EtWrAhRRgQJmyjMW9", "موقع"), "")</f>
        <v>موقع</v>
      </c>
    </row>
    <row r="138" spans="1:27" x14ac:dyDescent="0.3">
      <c r="A138" t="s">
        <v>618</v>
      </c>
      <c r="B138" s="1">
        <v>46182.512789351851</v>
      </c>
      <c r="C138" t="s">
        <v>1</v>
      </c>
      <c r="D138" t="s">
        <v>54</v>
      </c>
      <c r="E138" t="s">
        <v>591</v>
      </c>
      <c r="F138" t="s">
        <v>2052</v>
      </c>
      <c r="G138" t="s">
        <v>20</v>
      </c>
      <c r="H138" t="s">
        <v>536</v>
      </c>
      <c r="I138" t="s">
        <v>537</v>
      </c>
      <c r="J138" t="s">
        <v>589</v>
      </c>
      <c r="K138" t="s">
        <v>590</v>
      </c>
      <c r="L138">
        <v>113</v>
      </c>
      <c r="M138">
        <v>2086</v>
      </c>
      <c r="N138">
        <v>37000</v>
      </c>
      <c r="Q138" t="s">
        <v>619</v>
      </c>
      <c r="S138" t="s">
        <v>1776</v>
      </c>
      <c r="V138" t="s">
        <v>32</v>
      </c>
      <c r="W138" t="s">
        <v>620</v>
      </c>
      <c r="Y138" t="str">
        <f t="shared" si="9"/>
        <v/>
      </c>
      <c r="Z138" t="str">
        <f t="shared" si="10"/>
        <v/>
      </c>
      <c r="AA138" t="str">
        <f>IF(NOT("" = ""), HYPERLINK("", "موقع"), "")</f>
        <v/>
      </c>
    </row>
    <row r="139" spans="1:27" x14ac:dyDescent="0.3">
      <c r="A139" t="s">
        <v>621</v>
      </c>
      <c r="B139" s="1">
        <v>46182.512789351851</v>
      </c>
      <c r="C139" t="s">
        <v>1</v>
      </c>
      <c r="D139" t="s">
        <v>54</v>
      </c>
      <c r="E139" t="s">
        <v>540</v>
      </c>
      <c r="F139" t="s">
        <v>2053</v>
      </c>
      <c r="G139" t="s">
        <v>20</v>
      </c>
      <c r="H139" t="s">
        <v>536</v>
      </c>
      <c r="I139" t="s">
        <v>537</v>
      </c>
      <c r="J139" t="s">
        <v>538</v>
      </c>
      <c r="K139" t="s">
        <v>539</v>
      </c>
      <c r="L139">
        <v>111</v>
      </c>
      <c r="M139">
        <v>139</v>
      </c>
      <c r="N139">
        <v>37000</v>
      </c>
      <c r="O139">
        <v>31.881806000000001</v>
      </c>
      <c r="P139">
        <v>36.827778000000002</v>
      </c>
      <c r="Q139" t="s">
        <v>126</v>
      </c>
      <c r="S139" t="s">
        <v>1776</v>
      </c>
      <c r="U139" t="s">
        <v>2014</v>
      </c>
      <c r="V139" t="s">
        <v>32</v>
      </c>
      <c r="W139" t="s">
        <v>541</v>
      </c>
      <c r="Y139" t="str">
        <f t="shared" si="9"/>
        <v/>
      </c>
      <c r="Z139" t="str">
        <f t="shared" si="10"/>
        <v/>
      </c>
      <c r="AA139" t="str">
        <f>IF(NOT("https://maps.app.goo.gl/Lr51HveMk3JcArJx8" = ""), HYPERLINK("https://maps.app.goo.gl/Lr51HveMk3JcArJx8", "موقع"), "")</f>
        <v>موقع</v>
      </c>
    </row>
    <row r="140" spans="1:27" x14ac:dyDescent="0.3">
      <c r="A140" t="s">
        <v>622</v>
      </c>
      <c r="B140" s="1">
        <v>46182.512789351851</v>
      </c>
      <c r="C140" t="s">
        <v>1</v>
      </c>
      <c r="D140" t="s">
        <v>54</v>
      </c>
      <c r="E140" t="s">
        <v>591</v>
      </c>
      <c r="F140" t="s">
        <v>2054</v>
      </c>
      <c r="G140" t="s">
        <v>20</v>
      </c>
      <c r="H140" t="s">
        <v>536</v>
      </c>
      <c r="I140" t="s">
        <v>537</v>
      </c>
      <c r="J140" t="s">
        <v>589</v>
      </c>
      <c r="K140" t="s">
        <v>590</v>
      </c>
      <c r="L140">
        <v>112</v>
      </c>
      <c r="M140">
        <v>9160</v>
      </c>
      <c r="N140">
        <v>43000</v>
      </c>
      <c r="Q140" t="s">
        <v>174</v>
      </c>
      <c r="S140" t="s">
        <v>1776</v>
      </c>
      <c r="V140" t="s">
        <v>32</v>
      </c>
      <c r="W140" t="s">
        <v>612</v>
      </c>
      <c r="Y140" t="str">
        <f t="shared" si="9"/>
        <v/>
      </c>
      <c r="Z140" t="str">
        <f t="shared" si="10"/>
        <v/>
      </c>
      <c r="AA140" t="str">
        <f>IF(NOT("" = ""), HYPERLINK("", "موقع"), "")</f>
        <v/>
      </c>
    </row>
    <row r="141" spans="1:27" x14ac:dyDescent="0.3">
      <c r="A141" t="s">
        <v>623</v>
      </c>
      <c r="B141" s="1">
        <v>46182.512789351851</v>
      </c>
      <c r="C141" t="s">
        <v>1</v>
      </c>
      <c r="D141" t="s">
        <v>54</v>
      </c>
      <c r="E141" t="s">
        <v>591</v>
      </c>
      <c r="F141" t="s">
        <v>2055</v>
      </c>
      <c r="G141" t="s">
        <v>20</v>
      </c>
      <c r="H141" t="s">
        <v>536</v>
      </c>
      <c r="I141" t="s">
        <v>537</v>
      </c>
      <c r="J141" t="s">
        <v>589</v>
      </c>
      <c r="K141" t="s">
        <v>590</v>
      </c>
      <c r="L141">
        <v>201</v>
      </c>
      <c r="M141">
        <v>11611</v>
      </c>
      <c r="N141">
        <v>43000</v>
      </c>
      <c r="O141">
        <v>32.102778000000001</v>
      </c>
      <c r="P141">
        <v>36.095332999999997</v>
      </c>
      <c r="Q141" t="s">
        <v>145</v>
      </c>
      <c r="S141" t="s">
        <v>1776</v>
      </c>
      <c r="U141" t="s">
        <v>2056</v>
      </c>
      <c r="V141" t="s">
        <v>32</v>
      </c>
      <c r="W141" t="s">
        <v>624</v>
      </c>
      <c r="Y141" t="str">
        <f t="shared" si="9"/>
        <v/>
      </c>
      <c r="Z141" t="str">
        <f t="shared" si="10"/>
        <v/>
      </c>
      <c r="AA141" t="str">
        <f>IF(NOT("https://maps.app.goo.gl/ADdAk1Pb68KLjcqBA" = ""), HYPERLINK("https://maps.app.goo.gl/ADdAk1Pb68KLjcqBA", "موقع"), "")</f>
        <v>موقع</v>
      </c>
    </row>
    <row r="142" spans="1:27" x14ac:dyDescent="0.3">
      <c r="A142" t="s">
        <v>625</v>
      </c>
      <c r="B142" s="1">
        <v>46182.512789351851</v>
      </c>
      <c r="C142" t="s">
        <v>1</v>
      </c>
      <c r="D142" t="s">
        <v>54</v>
      </c>
      <c r="E142" t="s">
        <v>591</v>
      </c>
      <c r="F142" t="s">
        <v>2057</v>
      </c>
      <c r="G142" t="s">
        <v>20</v>
      </c>
      <c r="H142" t="s">
        <v>536</v>
      </c>
      <c r="I142" t="s">
        <v>537</v>
      </c>
      <c r="J142" t="s">
        <v>589</v>
      </c>
      <c r="K142" t="s">
        <v>590</v>
      </c>
      <c r="L142">
        <v>101</v>
      </c>
      <c r="M142">
        <v>5905</v>
      </c>
      <c r="N142">
        <v>47000</v>
      </c>
      <c r="O142">
        <v>32.094444000000003</v>
      </c>
      <c r="P142">
        <v>36.097889000000002</v>
      </c>
      <c r="Q142" t="s">
        <v>616</v>
      </c>
      <c r="S142" t="s">
        <v>1776</v>
      </c>
      <c r="U142" t="s">
        <v>2058</v>
      </c>
      <c r="V142" t="s">
        <v>32</v>
      </c>
      <c r="W142" t="s">
        <v>626</v>
      </c>
      <c r="Y142" t="str">
        <f t="shared" si="9"/>
        <v/>
      </c>
      <c r="Z142" t="str">
        <f t="shared" si="10"/>
        <v/>
      </c>
      <c r="AA142" t="str">
        <f>IF(NOT("https://maps.app.goo.gl/K6r9TZZ5Cgvjmcq17" = ""), HYPERLINK("https://maps.app.goo.gl/K6r9TZZ5Cgvjmcq17", "موقع"), "")</f>
        <v>موقع</v>
      </c>
    </row>
    <row r="143" spans="1:27" x14ac:dyDescent="0.3">
      <c r="A143" t="s">
        <v>627</v>
      </c>
      <c r="B143" s="1">
        <v>46182.512789351851</v>
      </c>
      <c r="C143" t="s">
        <v>1</v>
      </c>
      <c r="D143" t="s">
        <v>54</v>
      </c>
      <c r="E143" t="s">
        <v>591</v>
      </c>
      <c r="F143" t="s">
        <v>2059</v>
      </c>
      <c r="G143" t="s">
        <v>20</v>
      </c>
      <c r="H143" t="s">
        <v>536</v>
      </c>
      <c r="I143" t="s">
        <v>537</v>
      </c>
      <c r="J143" t="s">
        <v>589</v>
      </c>
      <c r="K143" t="s">
        <v>590</v>
      </c>
      <c r="L143">
        <v>132</v>
      </c>
      <c r="M143">
        <v>5270</v>
      </c>
      <c r="N143">
        <v>47000</v>
      </c>
      <c r="Q143" t="s">
        <v>155</v>
      </c>
      <c r="S143" t="s">
        <v>1776</v>
      </c>
      <c r="V143" t="s">
        <v>50</v>
      </c>
      <c r="W143" t="s">
        <v>628</v>
      </c>
      <c r="Y143" t="str">
        <f t="shared" si="9"/>
        <v/>
      </c>
      <c r="Z143" t="str">
        <f t="shared" si="10"/>
        <v/>
      </c>
      <c r="AA143" t="str">
        <f>IF(NOT("" = ""), HYPERLINK("", "موقع"), "")</f>
        <v/>
      </c>
    </row>
    <row r="144" spans="1:27" x14ac:dyDescent="0.3">
      <c r="A144" t="s">
        <v>629</v>
      </c>
      <c r="B144" s="1">
        <v>46182.512789351851</v>
      </c>
      <c r="C144" t="s">
        <v>1</v>
      </c>
      <c r="D144" t="s">
        <v>54</v>
      </c>
      <c r="E144" t="s">
        <v>591</v>
      </c>
      <c r="F144" t="s">
        <v>2060</v>
      </c>
      <c r="G144" t="s">
        <v>20</v>
      </c>
      <c r="H144" t="s">
        <v>536</v>
      </c>
      <c r="I144" t="s">
        <v>537</v>
      </c>
      <c r="J144" t="s">
        <v>589</v>
      </c>
      <c r="K144" t="s">
        <v>590</v>
      </c>
      <c r="L144">
        <v>132</v>
      </c>
      <c r="M144">
        <v>11358</v>
      </c>
      <c r="N144">
        <v>58000</v>
      </c>
      <c r="O144">
        <v>32.102528</v>
      </c>
      <c r="P144">
        <v>36.101556000000002</v>
      </c>
      <c r="Q144" t="s">
        <v>181</v>
      </c>
      <c r="S144" t="s">
        <v>1776</v>
      </c>
      <c r="U144" t="s">
        <v>2061</v>
      </c>
      <c r="V144" t="s">
        <v>32</v>
      </c>
      <c r="W144" t="s">
        <v>630</v>
      </c>
      <c r="Y144" t="str">
        <f t="shared" si="9"/>
        <v/>
      </c>
      <c r="Z144" t="str">
        <f t="shared" si="10"/>
        <v/>
      </c>
      <c r="AA144" t="str">
        <f>IF(NOT("https://maps.app.goo.gl/fcKBGywg6fqF7Y9v5" = ""), HYPERLINK("https://maps.app.goo.gl/fcKBGywg6fqF7Y9v5", "موقع"), "")</f>
        <v>موقع</v>
      </c>
    </row>
    <row r="145" spans="1:27" x14ac:dyDescent="0.3">
      <c r="A145" t="s">
        <v>631</v>
      </c>
      <c r="B145" s="1">
        <v>46182.512789351851</v>
      </c>
      <c r="C145" t="s">
        <v>1</v>
      </c>
      <c r="D145" t="s">
        <v>54</v>
      </c>
      <c r="E145" t="s">
        <v>591</v>
      </c>
      <c r="F145" t="s">
        <v>2062</v>
      </c>
      <c r="G145" t="s">
        <v>20</v>
      </c>
      <c r="H145" t="s">
        <v>536</v>
      </c>
      <c r="I145" t="s">
        <v>537</v>
      </c>
      <c r="J145" t="s">
        <v>589</v>
      </c>
      <c r="K145" t="s">
        <v>590</v>
      </c>
      <c r="L145">
        <v>131</v>
      </c>
      <c r="M145">
        <v>11358</v>
      </c>
      <c r="N145">
        <v>60000</v>
      </c>
      <c r="O145">
        <v>32.102528</v>
      </c>
      <c r="P145">
        <v>36.101556000000002</v>
      </c>
      <c r="Q145" t="s">
        <v>632</v>
      </c>
      <c r="S145" t="s">
        <v>1776</v>
      </c>
      <c r="U145" t="s">
        <v>2063</v>
      </c>
      <c r="V145" t="s">
        <v>50</v>
      </c>
      <c r="W145" t="s">
        <v>633</v>
      </c>
      <c r="Y145" t="str">
        <f t="shared" si="9"/>
        <v/>
      </c>
      <c r="Z145" t="str">
        <f t="shared" si="10"/>
        <v/>
      </c>
      <c r="AA145" t="str">
        <f>IF(NOT("https://maps.app.goo.gl/irVVzZfw1xaBdn2d7" = ""), HYPERLINK("https://maps.app.goo.gl/irVVzZfw1xaBdn2d7", "موقع"), "")</f>
        <v>موقع</v>
      </c>
    </row>
    <row r="146" spans="1:27" x14ac:dyDescent="0.3">
      <c r="A146" t="s">
        <v>634</v>
      </c>
      <c r="B146" s="1">
        <v>46182.512789351851</v>
      </c>
      <c r="C146" t="s">
        <v>1</v>
      </c>
      <c r="D146" t="s">
        <v>54</v>
      </c>
      <c r="E146" t="s">
        <v>591</v>
      </c>
      <c r="F146" t="s">
        <v>2064</v>
      </c>
      <c r="G146" t="s">
        <v>20</v>
      </c>
      <c r="H146" t="s">
        <v>536</v>
      </c>
      <c r="I146" t="s">
        <v>537</v>
      </c>
      <c r="J146" t="s">
        <v>589</v>
      </c>
      <c r="K146" t="s">
        <v>590</v>
      </c>
      <c r="L146">
        <v>102</v>
      </c>
      <c r="M146">
        <v>10390</v>
      </c>
      <c r="N146">
        <v>82000</v>
      </c>
      <c r="O146">
        <v>32.101556000000002</v>
      </c>
      <c r="P146">
        <v>36.088250000000002</v>
      </c>
      <c r="Q146" t="s">
        <v>635</v>
      </c>
      <c r="S146" t="s">
        <v>1776</v>
      </c>
      <c r="U146" t="s">
        <v>2065</v>
      </c>
      <c r="V146" t="s">
        <v>41</v>
      </c>
      <c r="W146" t="s">
        <v>636</v>
      </c>
      <c r="Y146" t="str">
        <f t="shared" si="9"/>
        <v/>
      </c>
      <c r="Z146" t="str">
        <f t="shared" si="10"/>
        <v/>
      </c>
      <c r="AA146" t="str">
        <f>IF(NOT("https://maps.app.goo.gl/r1jKBj8YNCiGjmpx9" = ""), HYPERLINK("https://maps.app.goo.gl/r1jKBj8YNCiGjmpx9", "موقع"), "")</f>
        <v>موقع</v>
      </c>
    </row>
    <row r="147" spans="1:27" x14ac:dyDescent="0.3">
      <c r="A147" t="s">
        <v>637</v>
      </c>
      <c r="B147" s="1">
        <v>46182.512789351851</v>
      </c>
      <c r="C147" t="s">
        <v>1</v>
      </c>
      <c r="D147" t="s">
        <v>263</v>
      </c>
      <c r="E147" t="s">
        <v>591</v>
      </c>
      <c r="F147" t="s">
        <v>2066</v>
      </c>
      <c r="G147" t="s">
        <v>262</v>
      </c>
      <c r="H147" t="s">
        <v>536</v>
      </c>
      <c r="I147" t="s">
        <v>537</v>
      </c>
      <c r="J147" t="s">
        <v>589</v>
      </c>
      <c r="K147" t="s">
        <v>599</v>
      </c>
      <c r="L147">
        <v>0</v>
      </c>
      <c r="M147">
        <v>3013</v>
      </c>
      <c r="N147">
        <v>361000</v>
      </c>
      <c r="Q147" t="s">
        <v>638</v>
      </c>
      <c r="S147" t="s">
        <v>1776</v>
      </c>
      <c r="W147" t="s">
        <v>639</v>
      </c>
      <c r="Y147" t="str">
        <f t="shared" si="9"/>
        <v/>
      </c>
      <c r="Z147" t="str">
        <f t="shared" si="10"/>
        <v/>
      </c>
      <c r="AA147" t="str">
        <f>IF(NOT("" = ""), HYPERLINK("", "موقع"), "")</f>
        <v/>
      </c>
    </row>
    <row r="148" spans="1:27" x14ac:dyDescent="0.3">
      <c r="A148" t="s">
        <v>640</v>
      </c>
      <c r="B148" s="1">
        <v>46182.512789351851</v>
      </c>
      <c r="C148" t="s">
        <v>1</v>
      </c>
      <c r="D148" t="s">
        <v>281</v>
      </c>
      <c r="E148" t="s">
        <v>643</v>
      </c>
      <c r="F148" t="s">
        <v>2067</v>
      </c>
      <c r="G148" t="s">
        <v>262</v>
      </c>
      <c r="H148" t="s">
        <v>536</v>
      </c>
      <c r="I148" t="s">
        <v>537</v>
      </c>
      <c r="J148" t="s">
        <v>641</v>
      </c>
      <c r="K148" t="s">
        <v>642</v>
      </c>
      <c r="L148">
        <v>0</v>
      </c>
      <c r="M148">
        <v>738</v>
      </c>
      <c r="N148">
        <v>10000</v>
      </c>
      <c r="O148">
        <v>32.119028</v>
      </c>
      <c r="P148">
        <v>36.284889</v>
      </c>
      <c r="Q148" t="s">
        <v>644</v>
      </c>
      <c r="S148" t="s">
        <v>1776</v>
      </c>
      <c r="U148" t="s">
        <v>2068</v>
      </c>
      <c r="W148" t="s">
        <v>645</v>
      </c>
      <c r="Y148" t="str">
        <f t="shared" si="9"/>
        <v/>
      </c>
      <c r="Z148" t="str">
        <f t="shared" si="10"/>
        <v/>
      </c>
      <c r="AA148" t="str">
        <f>IF(NOT("https://maps.app.goo.gl/7QcUK4DzQanPbPWt7" = ""), HYPERLINK("https://maps.app.goo.gl/7QcUK4DzQanPbPWt7", "موقع"), "")</f>
        <v>موقع</v>
      </c>
    </row>
    <row r="149" spans="1:27" x14ac:dyDescent="0.3">
      <c r="A149" t="s">
        <v>646</v>
      </c>
      <c r="B149" s="1">
        <v>46182.512789351851</v>
      </c>
      <c r="C149" t="s">
        <v>1</v>
      </c>
      <c r="D149" t="s">
        <v>281</v>
      </c>
      <c r="E149" t="s">
        <v>649</v>
      </c>
      <c r="F149" t="s">
        <v>2069</v>
      </c>
      <c r="G149" t="s">
        <v>262</v>
      </c>
      <c r="H149" t="s">
        <v>536</v>
      </c>
      <c r="I149" t="s">
        <v>537</v>
      </c>
      <c r="J149" t="s">
        <v>647</v>
      </c>
      <c r="K149" t="s">
        <v>648</v>
      </c>
      <c r="L149">
        <v>0</v>
      </c>
      <c r="M149">
        <v>34</v>
      </c>
      <c r="N149">
        <v>11000</v>
      </c>
      <c r="O149">
        <v>32.056916999999999</v>
      </c>
      <c r="P149">
        <v>36.417471999999997</v>
      </c>
      <c r="Q149" t="s">
        <v>650</v>
      </c>
      <c r="S149" t="s">
        <v>1776</v>
      </c>
      <c r="U149" t="s">
        <v>2070</v>
      </c>
      <c r="W149" t="s">
        <v>651</v>
      </c>
      <c r="Y149" t="str">
        <f t="shared" si="9"/>
        <v/>
      </c>
      <c r="Z149" t="str">
        <f t="shared" si="10"/>
        <v/>
      </c>
      <c r="AA149" t="str">
        <f>IF(NOT("https://maps.app.goo.gl/VejcLFyRZYZ8fU9VA" = ""), HYPERLINK("https://maps.app.goo.gl/VejcLFyRZYZ8fU9VA", "موقع"), "")</f>
        <v>موقع</v>
      </c>
    </row>
    <row r="150" spans="1:27" x14ac:dyDescent="0.3">
      <c r="A150" t="s">
        <v>652</v>
      </c>
      <c r="B150" s="1">
        <v>46182.512789351851</v>
      </c>
      <c r="C150" t="s">
        <v>1</v>
      </c>
      <c r="D150" t="s">
        <v>281</v>
      </c>
      <c r="E150" t="s">
        <v>551</v>
      </c>
      <c r="F150" t="s">
        <v>2071</v>
      </c>
      <c r="G150" t="s">
        <v>262</v>
      </c>
      <c r="H150" t="s">
        <v>536</v>
      </c>
      <c r="I150" t="s">
        <v>537</v>
      </c>
      <c r="J150" t="s">
        <v>549</v>
      </c>
      <c r="K150" t="s">
        <v>653</v>
      </c>
      <c r="L150">
        <v>0</v>
      </c>
      <c r="M150">
        <v>222</v>
      </c>
      <c r="N150">
        <v>26000</v>
      </c>
      <c r="Q150" t="s">
        <v>654</v>
      </c>
      <c r="S150" t="s">
        <v>1776</v>
      </c>
      <c r="W150" t="s">
        <v>655</v>
      </c>
      <c r="Y150" t="str">
        <f t="shared" si="9"/>
        <v/>
      </c>
      <c r="Z150" t="str">
        <f t="shared" si="10"/>
        <v/>
      </c>
      <c r="AA150" t="str">
        <f>IF(NOT("" = ""), HYPERLINK("", "موقع"), "")</f>
        <v/>
      </c>
    </row>
    <row r="151" spans="1:27" x14ac:dyDescent="0.3">
      <c r="A151" t="s">
        <v>656</v>
      </c>
      <c r="B151" s="1">
        <v>46182.512789351851</v>
      </c>
      <c r="C151" t="s">
        <v>1</v>
      </c>
      <c r="D151" t="s">
        <v>281</v>
      </c>
      <c r="E151" t="s">
        <v>540</v>
      </c>
      <c r="F151" t="s">
        <v>2072</v>
      </c>
      <c r="G151" t="s">
        <v>262</v>
      </c>
      <c r="H151" t="s">
        <v>536</v>
      </c>
      <c r="I151" t="s">
        <v>537</v>
      </c>
      <c r="J151" t="s">
        <v>538</v>
      </c>
      <c r="K151" t="s">
        <v>657</v>
      </c>
      <c r="L151">
        <v>0</v>
      </c>
      <c r="M151">
        <v>719</v>
      </c>
      <c r="N151">
        <v>35000</v>
      </c>
      <c r="O151">
        <v>31.884305999999999</v>
      </c>
      <c r="P151">
        <v>36.824416999999997</v>
      </c>
      <c r="Q151" t="s">
        <v>658</v>
      </c>
      <c r="S151" t="s">
        <v>1776</v>
      </c>
      <c r="U151" t="s">
        <v>2073</v>
      </c>
      <c r="W151" t="s">
        <v>659</v>
      </c>
      <c r="Y151" t="str">
        <f t="shared" si="9"/>
        <v/>
      </c>
      <c r="Z151" t="str">
        <f t="shared" si="10"/>
        <v/>
      </c>
      <c r="AA151" t="str">
        <f>IF(NOT("https://maps.app.goo.gl/rJPRDhdsZx115hDH8" = ""), HYPERLINK("https://maps.app.goo.gl/rJPRDhdsZx115hDH8", "موقع"), "")</f>
        <v>موقع</v>
      </c>
    </row>
    <row r="152" spans="1:27" x14ac:dyDescent="0.3">
      <c r="A152" t="s">
        <v>660</v>
      </c>
      <c r="B152" s="1">
        <v>46182.512789351851</v>
      </c>
      <c r="C152" t="s">
        <v>1</v>
      </c>
      <c r="D152" t="s">
        <v>281</v>
      </c>
      <c r="E152" t="s">
        <v>591</v>
      </c>
      <c r="F152" t="s">
        <v>2074</v>
      </c>
      <c r="G152" t="s">
        <v>262</v>
      </c>
      <c r="H152" t="s">
        <v>536</v>
      </c>
      <c r="I152" t="s">
        <v>537</v>
      </c>
      <c r="J152" t="s">
        <v>589</v>
      </c>
      <c r="K152" t="s">
        <v>599</v>
      </c>
      <c r="L152">
        <v>0</v>
      </c>
      <c r="M152">
        <v>2245</v>
      </c>
      <c r="N152">
        <v>41000</v>
      </c>
      <c r="Q152" t="s">
        <v>181</v>
      </c>
      <c r="S152" t="s">
        <v>1776</v>
      </c>
      <c r="W152" t="s">
        <v>661</v>
      </c>
      <c r="Y152" t="str">
        <f t="shared" si="9"/>
        <v/>
      </c>
      <c r="Z152" t="str">
        <f t="shared" si="10"/>
        <v/>
      </c>
      <c r="AA152" t="str">
        <f>IF(NOT("" = ""), HYPERLINK("", "موقع"), "")</f>
        <v/>
      </c>
    </row>
    <row r="153" spans="1:27" x14ac:dyDescent="0.3">
      <c r="A153" t="s">
        <v>662</v>
      </c>
      <c r="B153" s="1">
        <v>46182.512789351851</v>
      </c>
      <c r="C153" t="s">
        <v>1</v>
      </c>
      <c r="D153" t="s">
        <v>281</v>
      </c>
      <c r="E153" t="s">
        <v>551</v>
      </c>
      <c r="F153" t="s">
        <v>2075</v>
      </c>
      <c r="G153" t="s">
        <v>262</v>
      </c>
      <c r="H153" t="s">
        <v>536</v>
      </c>
      <c r="I153" t="s">
        <v>537</v>
      </c>
      <c r="J153" t="s">
        <v>549</v>
      </c>
      <c r="K153" t="s">
        <v>550</v>
      </c>
      <c r="L153">
        <v>0</v>
      </c>
      <c r="M153">
        <v>1229</v>
      </c>
      <c r="N153">
        <v>74000</v>
      </c>
      <c r="O153">
        <v>32.137472000000002</v>
      </c>
      <c r="P153">
        <v>36.136499999999998</v>
      </c>
      <c r="Q153" t="s">
        <v>663</v>
      </c>
      <c r="S153" t="s">
        <v>1776</v>
      </c>
      <c r="U153" t="s">
        <v>2076</v>
      </c>
      <c r="W153" t="s">
        <v>664</v>
      </c>
      <c r="Y153" t="str">
        <f t="shared" si="9"/>
        <v/>
      </c>
      <c r="Z153" t="str">
        <f t="shared" si="10"/>
        <v/>
      </c>
      <c r="AA153" t="str">
        <f>IF(NOT("https://maps.app.goo.gl/t36xDz5TTRn1P3xS6" = ""), HYPERLINK("https://maps.app.goo.gl/t36xDz5TTRn1P3xS6", "موقع"), "")</f>
        <v>موقع</v>
      </c>
    </row>
    <row r="154" spans="1:27" x14ac:dyDescent="0.3">
      <c r="A154" t="s">
        <v>665</v>
      </c>
      <c r="B154" s="1">
        <v>46182.512789351851</v>
      </c>
      <c r="C154" t="s">
        <v>1</v>
      </c>
      <c r="D154" t="s">
        <v>281</v>
      </c>
      <c r="E154" t="s">
        <v>649</v>
      </c>
      <c r="F154" t="s">
        <v>2077</v>
      </c>
      <c r="G154" t="s">
        <v>262</v>
      </c>
      <c r="H154" t="s">
        <v>536</v>
      </c>
      <c r="I154" t="s">
        <v>537</v>
      </c>
      <c r="J154" t="s">
        <v>641</v>
      </c>
      <c r="K154" t="s">
        <v>642</v>
      </c>
      <c r="L154">
        <v>0</v>
      </c>
      <c r="M154">
        <v>710</v>
      </c>
      <c r="N154">
        <v>78000</v>
      </c>
      <c r="Q154" t="s">
        <v>666</v>
      </c>
      <c r="S154" t="s">
        <v>1776</v>
      </c>
      <c r="W154" t="s">
        <v>667</v>
      </c>
      <c r="Y154" t="str">
        <f t="shared" si="9"/>
        <v/>
      </c>
      <c r="Z154" t="str">
        <f t="shared" si="10"/>
        <v/>
      </c>
      <c r="AA154" t="str">
        <f>IF(NOT("" = ""), HYPERLINK("", "موقع"), "")</f>
        <v/>
      </c>
    </row>
    <row r="155" spans="1:27" x14ac:dyDescent="0.3">
      <c r="A155" t="s">
        <v>668</v>
      </c>
      <c r="B155" s="1">
        <v>46182.512789351851</v>
      </c>
      <c r="C155" t="s">
        <v>1</v>
      </c>
      <c r="D155" t="s">
        <v>281</v>
      </c>
      <c r="E155" t="s">
        <v>606</v>
      </c>
      <c r="F155" t="s">
        <v>2078</v>
      </c>
      <c r="G155" t="s">
        <v>262</v>
      </c>
      <c r="H155" t="s">
        <v>536</v>
      </c>
      <c r="I155" t="s">
        <v>537</v>
      </c>
      <c r="J155" t="s">
        <v>589</v>
      </c>
      <c r="K155" t="s">
        <v>590</v>
      </c>
      <c r="L155">
        <v>0</v>
      </c>
      <c r="M155">
        <v>7023</v>
      </c>
      <c r="N155">
        <v>98000</v>
      </c>
      <c r="O155">
        <v>32.114944000000001</v>
      </c>
      <c r="P155">
        <v>36.064889000000001</v>
      </c>
      <c r="Q155" t="s">
        <v>669</v>
      </c>
      <c r="S155" t="s">
        <v>1776</v>
      </c>
      <c r="U155" t="s">
        <v>2079</v>
      </c>
      <c r="W155" t="s">
        <v>670</v>
      </c>
      <c r="Y155" t="str">
        <f t="shared" si="9"/>
        <v/>
      </c>
      <c r="Z155" t="str">
        <f t="shared" si="10"/>
        <v/>
      </c>
      <c r="AA155" t="str">
        <f>IF(NOT("https://maps.app.goo.gl/KGeMnMeLud49eHXGA" = ""), HYPERLINK("https://maps.app.goo.gl/KGeMnMeLud49eHXGA", "موقع"), "")</f>
        <v>موقع</v>
      </c>
    </row>
    <row r="156" spans="1:27" x14ac:dyDescent="0.3">
      <c r="A156" t="s">
        <v>671</v>
      </c>
      <c r="B156" s="1">
        <v>46182.512789351851</v>
      </c>
      <c r="C156" t="s">
        <v>1</v>
      </c>
      <c r="D156" t="s">
        <v>281</v>
      </c>
      <c r="E156" t="s">
        <v>591</v>
      </c>
      <c r="F156" t="s">
        <v>2080</v>
      </c>
      <c r="G156" t="s">
        <v>262</v>
      </c>
      <c r="H156" t="s">
        <v>536</v>
      </c>
      <c r="I156" t="s">
        <v>537</v>
      </c>
      <c r="J156" t="s">
        <v>589</v>
      </c>
      <c r="K156" t="s">
        <v>590</v>
      </c>
      <c r="L156">
        <v>0</v>
      </c>
      <c r="M156">
        <v>2705</v>
      </c>
      <c r="N156">
        <v>139000</v>
      </c>
      <c r="O156">
        <v>32.104472000000001</v>
      </c>
      <c r="P156">
        <v>36.103306000000003</v>
      </c>
      <c r="Q156" t="s">
        <v>672</v>
      </c>
      <c r="S156" t="s">
        <v>1776</v>
      </c>
      <c r="U156" t="s">
        <v>2081</v>
      </c>
      <c r="W156" t="s">
        <v>673</v>
      </c>
      <c r="Y156" t="str">
        <f t="shared" si="9"/>
        <v/>
      </c>
      <c r="Z156" t="str">
        <f t="shared" si="10"/>
        <v/>
      </c>
      <c r="AA156" t="str">
        <f>IF(NOT("https://maps.app.goo.gl/49HWKrFtLFJ9RRUW8" = ""), HYPERLINK("https://maps.app.goo.gl/49HWKrFtLFJ9RRUW8", "موقع"), "")</f>
        <v>موقع</v>
      </c>
    </row>
    <row r="157" spans="1:27" x14ac:dyDescent="0.3">
      <c r="A157" t="s">
        <v>674</v>
      </c>
      <c r="B157" s="1">
        <v>46182.512789351851</v>
      </c>
      <c r="C157" t="s">
        <v>1</v>
      </c>
      <c r="D157" t="s">
        <v>281</v>
      </c>
      <c r="E157" t="s">
        <v>676</v>
      </c>
      <c r="F157" t="s">
        <v>2082</v>
      </c>
      <c r="G157" t="s">
        <v>262</v>
      </c>
      <c r="H157" t="s">
        <v>536</v>
      </c>
      <c r="I157" t="s">
        <v>537</v>
      </c>
      <c r="J157" t="s">
        <v>566</v>
      </c>
      <c r="K157" t="s">
        <v>675</v>
      </c>
      <c r="L157">
        <v>0</v>
      </c>
      <c r="M157">
        <v>1204</v>
      </c>
      <c r="N157">
        <v>156000</v>
      </c>
      <c r="O157">
        <v>32.044638999999997</v>
      </c>
      <c r="P157">
        <v>36.077638999999998</v>
      </c>
      <c r="Q157" t="s">
        <v>677</v>
      </c>
      <c r="S157" t="s">
        <v>1776</v>
      </c>
      <c r="U157" t="s">
        <v>2083</v>
      </c>
      <c r="W157" t="s">
        <v>678</v>
      </c>
      <c r="Y157" t="str">
        <f t="shared" si="9"/>
        <v/>
      </c>
      <c r="Z157" t="str">
        <f t="shared" si="10"/>
        <v/>
      </c>
      <c r="AA157" t="str">
        <f>IF(NOT("https://maps.app.goo.gl/RjnTzXu71B6DuHhb6" = ""), HYPERLINK("https://maps.app.goo.gl/RjnTzXu71B6DuHhb6", "موقع"), "")</f>
        <v>موقع</v>
      </c>
    </row>
    <row r="158" spans="1:27" x14ac:dyDescent="0.3">
      <c r="A158" t="s">
        <v>679</v>
      </c>
      <c r="B158" s="1">
        <v>46182.512789351851</v>
      </c>
      <c r="C158" t="s">
        <v>1</v>
      </c>
      <c r="D158" t="s">
        <v>281</v>
      </c>
      <c r="E158" t="s">
        <v>591</v>
      </c>
      <c r="F158" t="s">
        <v>2084</v>
      </c>
      <c r="G158" t="s">
        <v>262</v>
      </c>
      <c r="H158" t="s">
        <v>536</v>
      </c>
      <c r="I158" t="s">
        <v>537</v>
      </c>
      <c r="J158" t="s">
        <v>589</v>
      </c>
      <c r="K158" t="s">
        <v>590</v>
      </c>
      <c r="L158">
        <v>0</v>
      </c>
      <c r="M158">
        <v>4522</v>
      </c>
      <c r="N158">
        <v>165000</v>
      </c>
      <c r="Q158" t="s">
        <v>680</v>
      </c>
      <c r="R158" t="s">
        <v>2085</v>
      </c>
      <c r="S158" t="s">
        <v>1828</v>
      </c>
      <c r="W158" t="s">
        <v>681</v>
      </c>
      <c r="Y158" t="str">
        <f t="shared" si="9"/>
        <v/>
      </c>
      <c r="Z158" t="str">
        <f>IF(NOT("https://truemarkets3d.net/3d-virtual-tour/housingbank-realestate/phase3/aq-bld-100279/index.html" = ""), HYPERLINK("https://truemarkets3d.net/3d-virtual-tour/housingbank-realestate/phase3/aq-bld-100279/index.html", "جولة"), "")</f>
        <v>جولة</v>
      </c>
      <c r="AA158" t="str">
        <f>IF(NOT("" = ""), HYPERLINK("", "موقع"), "")</f>
        <v/>
      </c>
    </row>
    <row r="159" spans="1:27" x14ac:dyDescent="0.3">
      <c r="A159" t="s">
        <v>682</v>
      </c>
      <c r="B159" s="1">
        <v>46182.512789351851</v>
      </c>
      <c r="C159" t="s">
        <v>1</v>
      </c>
      <c r="D159" t="s">
        <v>281</v>
      </c>
      <c r="E159" t="s">
        <v>591</v>
      </c>
      <c r="F159" t="s">
        <v>2086</v>
      </c>
      <c r="G159" t="s">
        <v>262</v>
      </c>
      <c r="H159" t="s">
        <v>536</v>
      </c>
      <c r="I159" t="s">
        <v>537</v>
      </c>
      <c r="J159" t="s">
        <v>589</v>
      </c>
      <c r="K159" t="s">
        <v>590</v>
      </c>
      <c r="L159">
        <v>0</v>
      </c>
      <c r="M159">
        <v>8458</v>
      </c>
      <c r="N159">
        <v>173000</v>
      </c>
      <c r="O159">
        <v>32.099221999999997</v>
      </c>
      <c r="P159">
        <v>36.098222</v>
      </c>
      <c r="Q159" t="s">
        <v>683</v>
      </c>
      <c r="S159" t="s">
        <v>1776</v>
      </c>
      <c r="U159" t="s">
        <v>2087</v>
      </c>
      <c r="W159" t="s">
        <v>684</v>
      </c>
      <c r="Y159" t="str">
        <f t="shared" si="9"/>
        <v/>
      </c>
      <c r="Z159" t="str">
        <f>IF(NOT("" = ""), HYPERLINK("", "جولة"), "")</f>
        <v/>
      </c>
      <c r="AA159" t="str">
        <f>IF(NOT("https://maps.app.goo.gl/eHMbk218CNd2PGtDA" = ""), HYPERLINK("https://maps.app.goo.gl/eHMbk218CNd2PGtDA", "موقع"), "")</f>
        <v>موقع</v>
      </c>
    </row>
    <row r="160" spans="1:27" x14ac:dyDescent="0.3">
      <c r="A160" t="s">
        <v>685</v>
      </c>
      <c r="B160" s="1">
        <v>46182.512789351851</v>
      </c>
      <c r="C160" t="s">
        <v>1</v>
      </c>
      <c r="D160" t="s">
        <v>281</v>
      </c>
      <c r="E160" t="s">
        <v>591</v>
      </c>
      <c r="F160" t="s">
        <v>2088</v>
      </c>
      <c r="G160" t="s">
        <v>262</v>
      </c>
      <c r="H160" t="s">
        <v>536</v>
      </c>
      <c r="I160" t="s">
        <v>537</v>
      </c>
      <c r="J160" t="s">
        <v>589</v>
      </c>
      <c r="K160" t="s">
        <v>599</v>
      </c>
      <c r="L160">
        <v>0</v>
      </c>
      <c r="M160">
        <v>4882</v>
      </c>
      <c r="N160">
        <v>186000</v>
      </c>
      <c r="Q160" t="s">
        <v>686</v>
      </c>
      <c r="S160" t="s">
        <v>1776</v>
      </c>
      <c r="W160" t="s">
        <v>687</v>
      </c>
      <c r="Y160" t="str">
        <f t="shared" ref="Y160:Y191" si="11">IF(NOT("" = ""), HYPERLINK("", "فيديو"), "")</f>
        <v/>
      </c>
      <c r="Z160" t="str">
        <f>IF(NOT("" = ""), HYPERLINK("", "جولة"), "")</f>
        <v/>
      </c>
      <c r="AA160" t="str">
        <f>IF(NOT("" = ""), HYPERLINK("", "موقع"), "")</f>
        <v/>
      </c>
    </row>
    <row r="161" spans="1:27" x14ac:dyDescent="0.3">
      <c r="A161" t="s">
        <v>688</v>
      </c>
      <c r="B161" s="1">
        <v>46182.512789351851</v>
      </c>
      <c r="C161" t="s">
        <v>1</v>
      </c>
      <c r="D161" t="s">
        <v>281</v>
      </c>
      <c r="E161" t="s">
        <v>691</v>
      </c>
      <c r="F161" t="s">
        <v>2089</v>
      </c>
      <c r="G161" t="s">
        <v>262</v>
      </c>
      <c r="H161" t="s">
        <v>536</v>
      </c>
      <c r="I161" t="s">
        <v>537</v>
      </c>
      <c r="J161" t="s">
        <v>689</v>
      </c>
      <c r="K161" t="s">
        <v>690</v>
      </c>
      <c r="L161">
        <v>0</v>
      </c>
      <c r="M161">
        <v>674</v>
      </c>
      <c r="N161">
        <v>196000</v>
      </c>
      <c r="O161">
        <v>32.036917000000003</v>
      </c>
      <c r="P161">
        <v>36.012917000000002</v>
      </c>
      <c r="Q161" t="s">
        <v>692</v>
      </c>
      <c r="S161" t="s">
        <v>1776</v>
      </c>
      <c r="U161" t="s">
        <v>2090</v>
      </c>
      <c r="W161" t="s">
        <v>693</v>
      </c>
      <c r="Y161" t="str">
        <f t="shared" si="11"/>
        <v/>
      </c>
      <c r="Z161" t="str">
        <f>IF(NOT("" = ""), HYPERLINK("", "جولة"), "")</f>
        <v/>
      </c>
      <c r="AA161" t="str">
        <f>IF(NOT("https://maps.app.goo.gl/3reEhsj6DkHv5LKX6" = ""), HYPERLINK("https://maps.app.goo.gl/3reEhsj6DkHv5LKX6", "موقع"), "")</f>
        <v>موقع</v>
      </c>
    </row>
    <row r="162" spans="1:27" x14ac:dyDescent="0.3">
      <c r="A162" t="s">
        <v>694</v>
      </c>
      <c r="B162" s="1">
        <v>46182.512789351851</v>
      </c>
      <c r="C162" t="s">
        <v>1</v>
      </c>
      <c r="D162" t="s">
        <v>281</v>
      </c>
      <c r="E162" t="s">
        <v>591</v>
      </c>
      <c r="F162" t="s">
        <v>2091</v>
      </c>
      <c r="G162" t="s">
        <v>262</v>
      </c>
      <c r="H162" t="s">
        <v>536</v>
      </c>
      <c r="I162" t="s">
        <v>537</v>
      </c>
      <c r="J162" t="s">
        <v>589</v>
      </c>
      <c r="K162" t="s">
        <v>590</v>
      </c>
      <c r="L162">
        <v>0</v>
      </c>
      <c r="M162">
        <v>8503</v>
      </c>
      <c r="N162">
        <v>225000</v>
      </c>
      <c r="O162">
        <v>32.106222000000002</v>
      </c>
      <c r="P162">
        <v>36.099806000000001</v>
      </c>
      <c r="Q162" t="s">
        <v>695</v>
      </c>
      <c r="R162" t="s">
        <v>2092</v>
      </c>
      <c r="S162" t="s">
        <v>1828</v>
      </c>
      <c r="U162" t="s">
        <v>2093</v>
      </c>
      <c r="W162" t="s">
        <v>696</v>
      </c>
      <c r="Y162" t="str">
        <f t="shared" si="11"/>
        <v/>
      </c>
      <c r="Z162" t="str">
        <f>IF(NOT("https://truemarkets3d.net/3d-virtual-tour/housingbank-realestate/phase3/aq-bld-100236/index.html" = ""), HYPERLINK("https://truemarkets3d.net/3d-virtual-tour/housingbank-realestate/phase3/aq-bld-100236/index.html", "جولة"), "")</f>
        <v>جولة</v>
      </c>
      <c r="AA162" t="str">
        <f>IF(NOT("https://maps.app.goo.gl/fmmGqj45Lk5UCFKY8" = ""), HYPERLINK("https://maps.app.goo.gl/fmmGqj45Lk5UCFKY8", "موقع"), "")</f>
        <v>موقع</v>
      </c>
    </row>
    <row r="163" spans="1:27" x14ac:dyDescent="0.3">
      <c r="A163" t="s">
        <v>697</v>
      </c>
      <c r="B163" s="1">
        <v>46182.512789351851</v>
      </c>
      <c r="C163" t="s">
        <v>1</v>
      </c>
      <c r="D163" t="s">
        <v>281</v>
      </c>
      <c r="E163" t="s">
        <v>700</v>
      </c>
      <c r="F163" t="s">
        <v>2094</v>
      </c>
      <c r="G163" t="s">
        <v>262</v>
      </c>
      <c r="H163" t="s">
        <v>536</v>
      </c>
      <c r="I163" t="s">
        <v>537</v>
      </c>
      <c r="J163" t="s">
        <v>698</v>
      </c>
      <c r="K163" t="s">
        <v>699</v>
      </c>
      <c r="L163">
        <v>0</v>
      </c>
      <c r="M163">
        <v>340</v>
      </c>
      <c r="N163">
        <v>313000</v>
      </c>
      <c r="O163">
        <v>32.103499999999997</v>
      </c>
      <c r="P163">
        <v>35.956221999999997</v>
      </c>
      <c r="Q163" t="s">
        <v>701</v>
      </c>
      <c r="S163" t="s">
        <v>1776</v>
      </c>
      <c r="U163" t="s">
        <v>2095</v>
      </c>
      <c r="W163" t="s">
        <v>702</v>
      </c>
      <c r="Y163" t="str">
        <f t="shared" si="11"/>
        <v/>
      </c>
      <c r="Z163" t="str">
        <f t="shared" ref="Z163:Z199" si="12">IF(NOT("" = ""), HYPERLINK("", "جولة"), "")</f>
        <v/>
      </c>
      <c r="AA163" t="str">
        <f>IF(NOT("https://maps.app.goo.gl/bozGkDugUrQAFjoUA" = ""), HYPERLINK("https://maps.app.goo.gl/bozGkDugUrQAFjoUA", "موقع"), "")</f>
        <v>موقع</v>
      </c>
    </row>
    <row r="164" spans="1:27" x14ac:dyDescent="0.3">
      <c r="A164" t="s">
        <v>703</v>
      </c>
      <c r="B164" s="1">
        <v>46182.512789351851</v>
      </c>
      <c r="C164" t="s">
        <v>1</v>
      </c>
      <c r="D164" t="s">
        <v>281</v>
      </c>
      <c r="E164" t="s">
        <v>545</v>
      </c>
      <c r="F164" t="s">
        <v>2096</v>
      </c>
      <c r="G164" t="s">
        <v>262</v>
      </c>
      <c r="H164" t="s">
        <v>536</v>
      </c>
      <c r="I164" t="s">
        <v>537</v>
      </c>
      <c r="J164" t="s">
        <v>543</v>
      </c>
      <c r="K164" t="s">
        <v>704</v>
      </c>
      <c r="L164">
        <v>0</v>
      </c>
      <c r="M164">
        <v>774</v>
      </c>
      <c r="N164">
        <v>319000</v>
      </c>
      <c r="O164">
        <v>32.005777999999999</v>
      </c>
      <c r="P164">
        <v>36.029277999999998</v>
      </c>
      <c r="Q164" t="s">
        <v>705</v>
      </c>
      <c r="S164" t="s">
        <v>1776</v>
      </c>
      <c r="U164" t="s">
        <v>2097</v>
      </c>
      <c r="W164" t="s">
        <v>706</v>
      </c>
      <c r="Y164" t="str">
        <f t="shared" si="11"/>
        <v/>
      </c>
      <c r="Z164" t="str">
        <f t="shared" si="12"/>
        <v/>
      </c>
      <c r="AA164" t="str">
        <f>IF(NOT("https://maps.app.goo.gl/82dRELJSixjWugLp7" = ""), HYPERLINK("https://maps.app.goo.gl/82dRELJSixjWugLp7", "موقع"), "")</f>
        <v>موقع</v>
      </c>
    </row>
    <row r="165" spans="1:27" x14ac:dyDescent="0.3">
      <c r="A165" t="s">
        <v>707</v>
      </c>
      <c r="B165" s="1">
        <v>46182.512789351851</v>
      </c>
      <c r="C165" t="s">
        <v>1</v>
      </c>
      <c r="D165" t="s">
        <v>380</v>
      </c>
      <c r="E165" t="s">
        <v>710</v>
      </c>
      <c r="F165" t="s">
        <v>2098</v>
      </c>
      <c r="G165" t="s">
        <v>262</v>
      </c>
      <c r="H165" t="s">
        <v>536</v>
      </c>
      <c r="I165" t="s">
        <v>537</v>
      </c>
      <c r="J165" t="s">
        <v>708</v>
      </c>
      <c r="K165" t="s">
        <v>709</v>
      </c>
      <c r="L165">
        <v>0</v>
      </c>
      <c r="M165">
        <v>314</v>
      </c>
      <c r="N165">
        <v>74000</v>
      </c>
      <c r="O165">
        <v>32.136749999999999</v>
      </c>
      <c r="P165">
        <v>36.260972000000002</v>
      </c>
      <c r="Q165" t="s">
        <v>711</v>
      </c>
      <c r="S165" t="s">
        <v>1776</v>
      </c>
      <c r="U165" t="s">
        <v>2099</v>
      </c>
      <c r="W165" t="s">
        <v>712</v>
      </c>
      <c r="Y165" t="str">
        <f t="shared" si="11"/>
        <v/>
      </c>
      <c r="Z165" t="str">
        <f t="shared" si="12"/>
        <v/>
      </c>
      <c r="AA165" t="str">
        <f>IF(NOT("https://maps.app.goo.gl/mkMofyR5tFYsJniV8" = ""), HYPERLINK("https://maps.app.goo.gl/mkMofyR5tFYsJniV8", "موقع"), "")</f>
        <v>موقع</v>
      </c>
    </row>
    <row r="166" spans="1:27" x14ac:dyDescent="0.3">
      <c r="A166" t="s">
        <v>713</v>
      </c>
      <c r="B166" s="1">
        <v>46182.512789351851</v>
      </c>
      <c r="C166" t="s">
        <v>1</v>
      </c>
      <c r="D166" t="s">
        <v>380</v>
      </c>
      <c r="E166" t="s">
        <v>540</v>
      </c>
      <c r="F166" t="s">
        <v>2100</v>
      </c>
      <c r="G166" t="s">
        <v>262</v>
      </c>
      <c r="H166" t="s">
        <v>536</v>
      </c>
      <c r="I166" t="s">
        <v>537</v>
      </c>
      <c r="J166" t="s">
        <v>714</v>
      </c>
      <c r="K166" t="s">
        <v>715</v>
      </c>
      <c r="L166">
        <v>0</v>
      </c>
      <c r="M166">
        <v>777</v>
      </c>
      <c r="N166">
        <v>100000</v>
      </c>
      <c r="O166">
        <v>31.847221999999999</v>
      </c>
      <c r="P166">
        <v>36.819806</v>
      </c>
      <c r="Q166" t="s">
        <v>716</v>
      </c>
      <c r="S166" t="s">
        <v>1776</v>
      </c>
      <c r="U166" t="s">
        <v>2101</v>
      </c>
      <c r="W166" t="s">
        <v>717</v>
      </c>
      <c r="Y166" t="str">
        <f t="shared" si="11"/>
        <v/>
      </c>
      <c r="Z166" t="str">
        <f t="shared" si="12"/>
        <v/>
      </c>
      <c r="AA166" t="str">
        <f>IF(NOT("https://maps.app.goo.gl/KFFTPLZmx9WgcFJ3A" = ""), HYPERLINK("https://maps.app.goo.gl/KFFTPLZmx9WgcFJ3A", "موقع"), "")</f>
        <v>موقع</v>
      </c>
    </row>
    <row r="167" spans="1:27" x14ac:dyDescent="0.3">
      <c r="A167" t="s">
        <v>718</v>
      </c>
      <c r="B167" s="1">
        <v>46182.512789351851</v>
      </c>
      <c r="C167" t="s">
        <v>1</v>
      </c>
      <c r="D167" t="s">
        <v>391</v>
      </c>
      <c r="E167" t="s">
        <v>540</v>
      </c>
      <c r="F167" t="s">
        <v>2102</v>
      </c>
      <c r="G167" t="s">
        <v>390</v>
      </c>
      <c r="H167" t="s">
        <v>536</v>
      </c>
      <c r="I167" t="s">
        <v>537</v>
      </c>
      <c r="J167" t="s">
        <v>647</v>
      </c>
      <c r="K167" t="s">
        <v>719</v>
      </c>
      <c r="L167">
        <v>0</v>
      </c>
      <c r="M167">
        <v>403</v>
      </c>
      <c r="N167">
        <v>6000</v>
      </c>
      <c r="O167">
        <v>32.107750000000003</v>
      </c>
      <c r="P167">
        <v>36.469611</v>
      </c>
      <c r="Q167" t="s">
        <v>720</v>
      </c>
      <c r="S167" t="s">
        <v>1776</v>
      </c>
      <c r="T167" t="s">
        <v>2103</v>
      </c>
      <c r="U167" t="s">
        <v>2104</v>
      </c>
      <c r="W167" t="s">
        <v>721</v>
      </c>
      <c r="Y167" t="str">
        <f t="shared" si="11"/>
        <v/>
      </c>
      <c r="Z167" t="str">
        <f t="shared" si="12"/>
        <v/>
      </c>
      <c r="AA167" t="str">
        <f>IF(NOT("https://maps.app.goo.gl/jidFef5beuMf9sheA" = ""), HYPERLINK("https://maps.app.goo.gl/jidFef5beuMf9sheA", "موقع"), "")</f>
        <v>موقع</v>
      </c>
    </row>
    <row r="168" spans="1:27" x14ac:dyDescent="0.3">
      <c r="A168" t="s">
        <v>722</v>
      </c>
      <c r="B168" s="1">
        <v>46182.512789351851</v>
      </c>
      <c r="C168" t="s">
        <v>1</v>
      </c>
      <c r="D168" t="s">
        <v>391</v>
      </c>
      <c r="E168" t="s">
        <v>540</v>
      </c>
      <c r="F168" t="s">
        <v>2105</v>
      </c>
      <c r="G168" t="s">
        <v>390</v>
      </c>
      <c r="H168" t="s">
        <v>536</v>
      </c>
      <c r="I168" t="s">
        <v>537</v>
      </c>
      <c r="J168" t="s">
        <v>647</v>
      </c>
      <c r="K168" t="s">
        <v>719</v>
      </c>
      <c r="L168">
        <v>0</v>
      </c>
      <c r="M168">
        <v>407</v>
      </c>
      <c r="N168">
        <v>7000</v>
      </c>
      <c r="Q168" t="s">
        <v>723</v>
      </c>
      <c r="S168" t="s">
        <v>1776</v>
      </c>
      <c r="T168" t="s">
        <v>2106</v>
      </c>
      <c r="W168" t="s">
        <v>724</v>
      </c>
      <c r="Y168" t="str">
        <f t="shared" si="11"/>
        <v/>
      </c>
      <c r="Z168" t="str">
        <f t="shared" si="12"/>
        <v/>
      </c>
      <c r="AA168" t="str">
        <f>IF(NOT("" = ""), HYPERLINK("", "موقع"), "")</f>
        <v/>
      </c>
    </row>
    <row r="169" spans="1:27" x14ac:dyDescent="0.3">
      <c r="A169" t="s">
        <v>725</v>
      </c>
      <c r="B169" s="1">
        <v>46182.512789351851</v>
      </c>
      <c r="C169" t="s">
        <v>1</v>
      </c>
      <c r="D169" t="s">
        <v>391</v>
      </c>
      <c r="E169" t="s">
        <v>540</v>
      </c>
      <c r="F169" t="s">
        <v>2107</v>
      </c>
      <c r="G169" t="s">
        <v>390</v>
      </c>
      <c r="H169" t="s">
        <v>536</v>
      </c>
      <c r="I169" t="s">
        <v>537</v>
      </c>
      <c r="J169" t="s">
        <v>647</v>
      </c>
      <c r="K169" t="s">
        <v>719</v>
      </c>
      <c r="L169">
        <v>0</v>
      </c>
      <c r="M169">
        <v>416</v>
      </c>
      <c r="N169">
        <v>9000</v>
      </c>
      <c r="O169">
        <v>32.103971999999999</v>
      </c>
      <c r="P169">
        <v>36.464638999999998</v>
      </c>
      <c r="Q169" t="s">
        <v>726</v>
      </c>
      <c r="S169" t="s">
        <v>1776</v>
      </c>
      <c r="T169" t="s">
        <v>2108</v>
      </c>
      <c r="U169" t="s">
        <v>2109</v>
      </c>
      <c r="W169" t="s">
        <v>727</v>
      </c>
      <c r="Y169" t="str">
        <f t="shared" si="11"/>
        <v/>
      </c>
      <c r="Z169" t="str">
        <f t="shared" si="12"/>
        <v/>
      </c>
      <c r="AA169" t="str">
        <f>IF(NOT("https://maps.app.goo.gl/VMbSFeAuZNRaJ7TX9" = ""), HYPERLINK("https://maps.app.goo.gl/VMbSFeAuZNRaJ7TX9", "موقع"), "")</f>
        <v>موقع</v>
      </c>
    </row>
    <row r="170" spans="1:27" x14ac:dyDescent="0.3">
      <c r="A170" t="s">
        <v>728</v>
      </c>
      <c r="B170" s="1">
        <v>46182.512789351851</v>
      </c>
      <c r="C170" t="s">
        <v>1</v>
      </c>
      <c r="D170" t="s">
        <v>391</v>
      </c>
      <c r="E170" t="s">
        <v>731</v>
      </c>
      <c r="F170" t="s">
        <v>2110</v>
      </c>
      <c r="G170" t="s">
        <v>390</v>
      </c>
      <c r="H170" t="s">
        <v>536</v>
      </c>
      <c r="I170" t="s">
        <v>537</v>
      </c>
      <c r="J170" t="s">
        <v>729</v>
      </c>
      <c r="K170" t="s">
        <v>730</v>
      </c>
      <c r="L170">
        <v>0</v>
      </c>
      <c r="M170">
        <v>1326</v>
      </c>
      <c r="N170">
        <v>14000</v>
      </c>
      <c r="O170">
        <v>32.073110999999997</v>
      </c>
      <c r="P170">
        <v>36.052889</v>
      </c>
      <c r="Q170" t="s">
        <v>732</v>
      </c>
      <c r="S170" t="s">
        <v>1776</v>
      </c>
      <c r="T170" t="s">
        <v>2111</v>
      </c>
      <c r="U170" t="s">
        <v>2112</v>
      </c>
      <c r="W170" t="s">
        <v>733</v>
      </c>
      <c r="Y170" t="str">
        <f t="shared" si="11"/>
        <v/>
      </c>
      <c r="Z170" t="str">
        <f t="shared" si="12"/>
        <v/>
      </c>
      <c r="AA170" t="str">
        <f>IF(NOT("https://maps.app.goo.gl/p5UeiG7Wqy3ELzHC7" = ""), HYPERLINK("https://maps.app.goo.gl/p5UeiG7Wqy3ELzHC7", "موقع"), "")</f>
        <v>موقع</v>
      </c>
    </row>
    <row r="171" spans="1:27" x14ac:dyDescent="0.3">
      <c r="A171" t="s">
        <v>734</v>
      </c>
      <c r="B171" s="1">
        <v>46182.512789351851</v>
      </c>
      <c r="C171" t="s">
        <v>1</v>
      </c>
      <c r="D171" t="s">
        <v>391</v>
      </c>
      <c r="E171" t="s">
        <v>737</v>
      </c>
      <c r="F171" t="s">
        <v>2113</v>
      </c>
      <c r="G171" t="s">
        <v>390</v>
      </c>
      <c r="H171" t="s">
        <v>536</v>
      </c>
      <c r="I171" t="s">
        <v>537</v>
      </c>
      <c r="J171" t="s">
        <v>735</v>
      </c>
      <c r="K171" t="s">
        <v>736</v>
      </c>
      <c r="L171">
        <v>0</v>
      </c>
      <c r="M171">
        <v>1203</v>
      </c>
      <c r="N171">
        <v>15000</v>
      </c>
      <c r="Q171" t="s">
        <v>738</v>
      </c>
      <c r="S171" t="s">
        <v>1776</v>
      </c>
      <c r="T171" t="s">
        <v>2114</v>
      </c>
      <c r="W171" t="s">
        <v>739</v>
      </c>
      <c r="Y171" t="str">
        <f t="shared" si="11"/>
        <v/>
      </c>
      <c r="Z171" t="str">
        <f t="shared" si="12"/>
        <v/>
      </c>
      <c r="AA171" t="str">
        <f>IF(NOT("" = ""), HYPERLINK("", "موقع"), "")</f>
        <v/>
      </c>
    </row>
    <row r="172" spans="1:27" x14ac:dyDescent="0.3">
      <c r="A172" t="s">
        <v>740</v>
      </c>
      <c r="B172" s="1">
        <v>46182.512789351851</v>
      </c>
      <c r="C172" t="s">
        <v>1</v>
      </c>
      <c r="D172" t="s">
        <v>391</v>
      </c>
      <c r="E172" t="s">
        <v>742</v>
      </c>
      <c r="F172" t="s">
        <v>2115</v>
      </c>
      <c r="G172" t="s">
        <v>390</v>
      </c>
      <c r="H172" t="s">
        <v>536</v>
      </c>
      <c r="I172" t="s">
        <v>537</v>
      </c>
      <c r="J172" t="s">
        <v>689</v>
      </c>
      <c r="K172" t="s">
        <v>741</v>
      </c>
      <c r="L172">
        <v>0</v>
      </c>
      <c r="M172">
        <v>329</v>
      </c>
      <c r="N172">
        <v>23000</v>
      </c>
      <c r="O172">
        <v>32.040722000000002</v>
      </c>
      <c r="P172">
        <v>36.025832999999999</v>
      </c>
      <c r="Q172" t="s">
        <v>743</v>
      </c>
      <c r="S172" t="s">
        <v>1776</v>
      </c>
      <c r="T172" t="s">
        <v>2116</v>
      </c>
      <c r="U172" t="s">
        <v>2117</v>
      </c>
      <c r="W172" t="s">
        <v>744</v>
      </c>
      <c r="Y172" t="str">
        <f t="shared" si="11"/>
        <v/>
      </c>
      <c r="Z172" t="str">
        <f t="shared" si="12"/>
        <v/>
      </c>
      <c r="AA172" t="str">
        <f>IF(NOT("https://maps.app.goo.gl/sZPBQeHukGbCoZDY9" = ""), HYPERLINK("https://maps.app.goo.gl/sZPBQeHukGbCoZDY9", "موقع"), "")</f>
        <v>موقع</v>
      </c>
    </row>
    <row r="173" spans="1:27" x14ac:dyDescent="0.3">
      <c r="A173" t="s">
        <v>745</v>
      </c>
      <c r="B173" s="1">
        <v>46182.512789351851</v>
      </c>
      <c r="C173" t="s">
        <v>1</v>
      </c>
      <c r="D173" t="s">
        <v>391</v>
      </c>
      <c r="E173" t="s">
        <v>742</v>
      </c>
      <c r="F173" t="s">
        <v>2118</v>
      </c>
      <c r="G173" t="s">
        <v>390</v>
      </c>
      <c r="H173" t="s">
        <v>536</v>
      </c>
      <c r="I173" t="s">
        <v>537</v>
      </c>
      <c r="J173" t="s">
        <v>689</v>
      </c>
      <c r="K173" t="s">
        <v>746</v>
      </c>
      <c r="L173">
        <v>0</v>
      </c>
      <c r="M173">
        <v>261</v>
      </c>
      <c r="N173">
        <v>36000</v>
      </c>
      <c r="O173">
        <v>32.069417000000001</v>
      </c>
      <c r="P173">
        <v>36.038055999999997</v>
      </c>
      <c r="Q173" t="s">
        <v>747</v>
      </c>
      <c r="S173" t="s">
        <v>1776</v>
      </c>
      <c r="T173" t="s">
        <v>2119</v>
      </c>
      <c r="U173" t="s">
        <v>2120</v>
      </c>
      <c r="W173" t="s">
        <v>748</v>
      </c>
      <c r="Y173" t="str">
        <f t="shared" si="11"/>
        <v/>
      </c>
      <c r="Z173" t="str">
        <f t="shared" si="12"/>
        <v/>
      </c>
      <c r="AA173" t="str">
        <f>IF(NOT("https://maps.app.goo.gl/K5ftzPSd6z6MToWU9" = ""), HYPERLINK("https://maps.app.goo.gl/K5ftzPSd6z6MToWU9", "موقع"), "")</f>
        <v>موقع</v>
      </c>
    </row>
    <row r="174" spans="1:27" x14ac:dyDescent="0.3">
      <c r="A174" t="s">
        <v>749</v>
      </c>
      <c r="B174" s="1">
        <v>46182.512789351851</v>
      </c>
      <c r="C174" t="s">
        <v>1</v>
      </c>
      <c r="D174" t="s">
        <v>750</v>
      </c>
      <c r="E174" t="s">
        <v>643</v>
      </c>
      <c r="F174" t="s">
        <v>2121</v>
      </c>
      <c r="G174" t="s">
        <v>390</v>
      </c>
      <c r="H174" t="s">
        <v>536</v>
      </c>
      <c r="I174" t="s">
        <v>537</v>
      </c>
      <c r="J174" t="s">
        <v>751</v>
      </c>
      <c r="K174" t="s">
        <v>752</v>
      </c>
      <c r="L174">
        <v>0</v>
      </c>
      <c r="M174">
        <v>129</v>
      </c>
      <c r="N174">
        <v>127000</v>
      </c>
      <c r="O174">
        <v>32.111556</v>
      </c>
      <c r="P174">
        <v>36.336917</v>
      </c>
      <c r="Q174" t="s">
        <v>753</v>
      </c>
      <c r="S174" t="s">
        <v>1776</v>
      </c>
      <c r="T174" t="s">
        <v>2122</v>
      </c>
      <c r="U174" t="s">
        <v>2123</v>
      </c>
      <c r="W174" t="s">
        <v>754</v>
      </c>
      <c r="Y174" t="str">
        <f t="shared" si="11"/>
        <v/>
      </c>
      <c r="Z174" t="str">
        <f t="shared" si="12"/>
        <v/>
      </c>
      <c r="AA174" t="str">
        <f>IF(NOT("https://maps.app.goo.gl/MKuNLonKeLB1z1gt9" = ""), HYPERLINK("https://maps.app.goo.gl/MKuNLonKeLB1z1gt9", "موقع"), "")</f>
        <v>موقع</v>
      </c>
    </row>
    <row r="175" spans="1:27" x14ac:dyDescent="0.3">
      <c r="A175" t="s">
        <v>755</v>
      </c>
      <c r="B175" s="1">
        <v>46182.512789351851</v>
      </c>
      <c r="C175" t="s">
        <v>1</v>
      </c>
      <c r="D175" t="s">
        <v>421</v>
      </c>
      <c r="E175" t="s">
        <v>606</v>
      </c>
      <c r="F175" t="s">
        <v>2124</v>
      </c>
      <c r="G175" t="s">
        <v>262</v>
      </c>
      <c r="H175" t="s">
        <v>536</v>
      </c>
      <c r="I175" t="s">
        <v>537</v>
      </c>
      <c r="J175" t="s">
        <v>604</v>
      </c>
      <c r="K175" t="s">
        <v>605</v>
      </c>
      <c r="L175">
        <v>0</v>
      </c>
      <c r="M175">
        <v>854</v>
      </c>
      <c r="N175">
        <v>38000</v>
      </c>
      <c r="O175">
        <v>32.137332999999998</v>
      </c>
      <c r="P175">
        <v>36.069693999999998</v>
      </c>
      <c r="Q175" t="s">
        <v>756</v>
      </c>
      <c r="S175" t="s">
        <v>1776</v>
      </c>
      <c r="U175" t="s">
        <v>2125</v>
      </c>
      <c r="W175" t="s">
        <v>757</v>
      </c>
      <c r="Y175" t="str">
        <f t="shared" si="11"/>
        <v/>
      </c>
      <c r="Z175" t="str">
        <f t="shared" si="12"/>
        <v/>
      </c>
      <c r="AA175" t="str">
        <f>IF(NOT("https://maps.app.goo.gl/wdysZEkQ4eVohZRc8" = ""), HYPERLINK("https://maps.app.goo.gl/wdysZEkQ4eVohZRc8", "موقع"), "")</f>
        <v>موقع</v>
      </c>
    </row>
    <row r="176" spans="1:27" x14ac:dyDescent="0.3">
      <c r="A176" t="s">
        <v>758</v>
      </c>
      <c r="B176" s="1">
        <v>46182.512789351851</v>
      </c>
      <c r="C176" t="s">
        <v>1</v>
      </c>
      <c r="D176" t="s">
        <v>421</v>
      </c>
      <c r="E176" t="s">
        <v>606</v>
      </c>
      <c r="F176" t="s">
        <v>2126</v>
      </c>
      <c r="G176" t="s">
        <v>262</v>
      </c>
      <c r="H176" t="s">
        <v>536</v>
      </c>
      <c r="I176" t="s">
        <v>537</v>
      </c>
      <c r="J176" t="s">
        <v>604</v>
      </c>
      <c r="K176" t="s">
        <v>605</v>
      </c>
      <c r="L176">
        <v>0</v>
      </c>
      <c r="M176">
        <v>576</v>
      </c>
      <c r="N176">
        <v>46000</v>
      </c>
      <c r="O176">
        <v>32.136833000000003</v>
      </c>
      <c r="P176">
        <v>36.064082999999997</v>
      </c>
      <c r="Q176" t="s">
        <v>759</v>
      </c>
      <c r="S176" t="s">
        <v>1776</v>
      </c>
      <c r="U176" t="s">
        <v>2127</v>
      </c>
      <c r="W176" t="s">
        <v>760</v>
      </c>
      <c r="Y176" t="str">
        <f t="shared" si="11"/>
        <v/>
      </c>
      <c r="Z176" t="str">
        <f t="shared" si="12"/>
        <v/>
      </c>
      <c r="AA176" t="str">
        <f>IF(NOT("https://maps.app.goo.gl/eBjN3nffY4XHPcbF7" = ""), HYPERLINK("https://maps.app.goo.gl/eBjN3nffY4XHPcbF7", "موقع"), "")</f>
        <v>موقع</v>
      </c>
    </row>
    <row r="177" spans="1:27" x14ac:dyDescent="0.3">
      <c r="A177" t="s">
        <v>761</v>
      </c>
      <c r="B177" s="1">
        <v>46182.512789351851</v>
      </c>
      <c r="C177" t="s">
        <v>1</v>
      </c>
      <c r="D177" t="s">
        <v>54</v>
      </c>
      <c r="E177" t="s">
        <v>318</v>
      </c>
      <c r="F177" t="s">
        <v>2128</v>
      </c>
      <c r="G177" t="s">
        <v>20</v>
      </c>
      <c r="H177" t="s">
        <v>762</v>
      </c>
      <c r="I177" t="s">
        <v>763</v>
      </c>
      <c r="J177" t="s">
        <v>764</v>
      </c>
      <c r="K177" t="s">
        <v>765</v>
      </c>
      <c r="L177">
        <v>-101</v>
      </c>
      <c r="M177">
        <v>830</v>
      </c>
      <c r="N177">
        <v>14000</v>
      </c>
      <c r="O177">
        <v>30.830278</v>
      </c>
      <c r="P177">
        <v>35.621861000000003</v>
      </c>
      <c r="Q177" t="s">
        <v>766</v>
      </c>
      <c r="S177" t="s">
        <v>1776</v>
      </c>
      <c r="U177" t="s">
        <v>2129</v>
      </c>
      <c r="V177" t="s">
        <v>27</v>
      </c>
      <c r="W177" t="s">
        <v>767</v>
      </c>
      <c r="Y177" t="str">
        <f t="shared" si="11"/>
        <v/>
      </c>
      <c r="Z177" t="str">
        <f t="shared" si="12"/>
        <v/>
      </c>
      <c r="AA177" t="str">
        <f>IF(NOT("https://maps.app.goo.gl/rLhjJBoAKcAsRd6y7" = ""), HYPERLINK("https://maps.app.goo.gl/rLhjJBoAKcAsRd6y7", "موقع"), "")</f>
        <v>موقع</v>
      </c>
    </row>
    <row r="178" spans="1:27" x14ac:dyDescent="0.3">
      <c r="A178" t="s">
        <v>768</v>
      </c>
      <c r="B178" s="1">
        <v>46182.512789351851</v>
      </c>
      <c r="C178" t="s">
        <v>1</v>
      </c>
      <c r="D178" t="s">
        <v>54</v>
      </c>
      <c r="E178" t="s">
        <v>318</v>
      </c>
      <c r="F178" t="s">
        <v>2130</v>
      </c>
      <c r="G178" t="s">
        <v>20</v>
      </c>
      <c r="H178" t="s">
        <v>762</v>
      </c>
      <c r="I178" t="s">
        <v>763</v>
      </c>
      <c r="J178" t="s">
        <v>764</v>
      </c>
      <c r="K178" t="s">
        <v>769</v>
      </c>
      <c r="L178">
        <v>-101</v>
      </c>
      <c r="M178">
        <v>384</v>
      </c>
      <c r="N178">
        <v>18000</v>
      </c>
      <c r="O178">
        <v>30.835639</v>
      </c>
      <c r="P178">
        <v>35.613056</v>
      </c>
      <c r="Q178" t="s">
        <v>770</v>
      </c>
      <c r="S178" t="s">
        <v>1776</v>
      </c>
      <c r="U178" t="s">
        <v>2131</v>
      </c>
      <c r="V178" t="s">
        <v>27</v>
      </c>
      <c r="W178" t="s">
        <v>771</v>
      </c>
      <c r="Y178" t="str">
        <f t="shared" si="11"/>
        <v/>
      </c>
      <c r="Z178" t="str">
        <f t="shared" si="12"/>
        <v/>
      </c>
      <c r="AA178" t="str">
        <f>IF(NOT("https://maps.app.goo.gl/339xFF8oG3pQiBZK6" = ""), HYPERLINK("https://maps.app.goo.gl/339xFF8oG3pQiBZK6", "موقع"), "")</f>
        <v>موقع</v>
      </c>
    </row>
    <row r="179" spans="1:27" x14ac:dyDescent="0.3">
      <c r="A179" t="s">
        <v>772</v>
      </c>
      <c r="B179" s="1">
        <v>46182.512789351851</v>
      </c>
      <c r="C179" t="s">
        <v>1</v>
      </c>
      <c r="D179" t="s">
        <v>54</v>
      </c>
      <c r="E179" t="s">
        <v>318</v>
      </c>
      <c r="F179" t="s">
        <v>2132</v>
      </c>
      <c r="G179" t="s">
        <v>20</v>
      </c>
      <c r="H179" t="s">
        <v>762</v>
      </c>
      <c r="I179" t="s">
        <v>763</v>
      </c>
      <c r="J179" t="s">
        <v>773</v>
      </c>
      <c r="K179" t="s">
        <v>774</v>
      </c>
      <c r="L179">
        <v>102</v>
      </c>
      <c r="M179">
        <v>506</v>
      </c>
      <c r="N179">
        <v>19000</v>
      </c>
      <c r="O179">
        <v>30.777667000000001</v>
      </c>
      <c r="P179">
        <v>35.596666999999997</v>
      </c>
      <c r="Q179" t="s">
        <v>775</v>
      </c>
      <c r="S179" t="s">
        <v>1776</v>
      </c>
      <c r="U179" t="s">
        <v>2133</v>
      </c>
      <c r="V179" t="s">
        <v>32</v>
      </c>
      <c r="W179" t="s">
        <v>776</v>
      </c>
      <c r="Y179" t="str">
        <f t="shared" si="11"/>
        <v/>
      </c>
      <c r="Z179" t="str">
        <f t="shared" si="12"/>
        <v/>
      </c>
      <c r="AA179" t="str">
        <f>IF(NOT("https://maps.app.goo.gl/9JdRDMJiocdRG3UWA" = ""), HYPERLINK("https://maps.app.goo.gl/9JdRDMJiocdRG3UWA", "موقع"), "")</f>
        <v>موقع</v>
      </c>
    </row>
    <row r="180" spans="1:27" x14ac:dyDescent="0.3">
      <c r="A180" t="s">
        <v>777</v>
      </c>
      <c r="B180" s="1">
        <v>46182.512789351851</v>
      </c>
      <c r="C180" t="s">
        <v>1</v>
      </c>
      <c r="D180" t="s">
        <v>54</v>
      </c>
      <c r="E180" t="s">
        <v>779</v>
      </c>
      <c r="F180" t="s">
        <v>2134</v>
      </c>
      <c r="G180" t="s">
        <v>20</v>
      </c>
      <c r="H180" t="s">
        <v>762</v>
      </c>
      <c r="I180" t="s">
        <v>763</v>
      </c>
      <c r="J180" t="s">
        <v>764</v>
      </c>
      <c r="K180" t="s">
        <v>778</v>
      </c>
      <c r="L180">
        <v>111</v>
      </c>
      <c r="M180">
        <v>430</v>
      </c>
      <c r="N180">
        <v>21000</v>
      </c>
      <c r="O180">
        <v>30.839333</v>
      </c>
      <c r="P180">
        <v>35.6355</v>
      </c>
      <c r="Q180" t="s">
        <v>780</v>
      </c>
      <c r="S180" t="s">
        <v>1776</v>
      </c>
      <c r="U180" t="s">
        <v>2135</v>
      </c>
      <c r="V180" t="s">
        <v>32</v>
      </c>
      <c r="W180" t="s">
        <v>781</v>
      </c>
      <c r="Y180" t="str">
        <f t="shared" si="11"/>
        <v/>
      </c>
      <c r="Z180" t="str">
        <f t="shared" si="12"/>
        <v/>
      </c>
      <c r="AA180" t="str">
        <f>IF(NOT("https://maps.app.goo.gl/Eqs4yfTbVDHCPyfx8" = ""), HYPERLINK("https://maps.app.goo.gl/Eqs4yfTbVDHCPyfx8", "موقع"), "")</f>
        <v>موقع</v>
      </c>
    </row>
    <row r="181" spans="1:27" x14ac:dyDescent="0.3">
      <c r="A181" t="s">
        <v>782</v>
      </c>
      <c r="B181" s="1">
        <v>46182.512789351851</v>
      </c>
      <c r="C181" t="s">
        <v>1</v>
      </c>
      <c r="D181" t="s">
        <v>54</v>
      </c>
      <c r="E181" t="s">
        <v>779</v>
      </c>
      <c r="F181" t="s">
        <v>2136</v>
      </c>
      <c r="G181" t="s">
        <v>20</v>
      </c>
      <c r="H181" t="s">
        <v>762</v>
      </c>
      <c r="I181" t="s">
        <v>763</v>
      </c>
      <c r="J181" t="s">
        <v>764</v>
      </c>
      <c r="K181" t="s">
        <v>783</v>
      </c>
      <c r="L181">
        <v>111</v>
      </c>
      <c r="M181">
        <v>486</v>
      </c>
      <c r="N181">
        <v>22000</v>
      </c>
      <c r="O181">
        <v>30.873556000000001</v>
      </c>
      <c r="P181">
        <v>35.680332999999997</v>
      </c>
      <c r="Q181" t="s">
        <v>616</v>
      </c>
      <c r="S181" t="s">
        <v>1776</v>
      </c>
      <c r="U181" t="s">
        <v>2137</v>
      </c>
      <c r="V181" t="s">
        <v>32</v>
      </c>
      <c r="W181" t="s">
        <v>784</v>
      </c>
      <c r="Y181" t="str">
        <f t="shared" si="11"/>
        <v/>
      </c>
      <c r="Z181" t="str">
        <f t="shared" si="12"/>
        <v/>
      </c>
      <c r="AA181" t="str">
        <f>IF(NOT("https://maps.app.goo.gl/sWVr5rvPBTvKmKxj7" = ""), HYPERLINK("https://maps.app.goo.gl/sWVr5rvPBTvKmKxj7", "موقع"), "")</f>
        <v>موقع</v>
      </c>
    </row>
    <row r="182" spans="1:27" x14ac:dyDescent="0.3">
      <c r="A182" t="s">
        <v>785</v>
      </c>
      <c r="B182" s="1">
        <v>46182.512789351851</v>
      </c>
      <c r="C182" t="s">
        <v>1</v>
      </c>
      <c r="D182" t="s">
        <v>281</v>
      </c>
      <c r="E182" t="s">
        <v>318</v>
      </c>
      <c r="F182" t="s">
        <v>2138</v>
      </c>
      <c r="G182" t="s">
        <v>262</v>
      </c>
      <c r="H182" t="s">
        <v>762</v>
      </c>
      <c r="I182" t="s">
        <v>763</v>
      </c>
      <c r="J182" t="s">
        <v>764</v>
      </c>
      <c r="K182" t="s">
        <v>786</v>
      </c>
      <c r="L182">
        <v>0</v>
      </c>
      <c r="M182">
        <v>384</v>
      </c>
      <c r="N182">
        <v>9000</v>
      </c>
      <c r="O182">
        <v>30.851693999999998</v>
      </c>
      <c r="P182">
        <v>35.611611000000003</v>
      </c>
      <c r="Q182" t="s">
        <v>787</v>
      </c>
      <c r="S182" t="s">
        <v>1776</v>
      </c>
      <c r="U182" t="s">
        <v>2139</v>
      </c>
      <c r="W182" t="s">
        <v>788</v>
      </c>
      <c r="Y182" t="str">
        <f t="shared" si="11"/>
        <v/>
      </c>
      <c r="Z182" t="str">
        <f t="shared" si="12"/>
        <v/>
      </c>
      <c r="AA182" t="str">
        <f>IF(NOT("https://maps.app.goo.gl/8AmqVAUV54EUe8eW6" = ""), HYPERLINK("https://maps.app.goo.gl/8AmqVAUV54EUe8eW6", "موقع"), "")</f>
        <v>موقع</v>
      </c>
    </row>
    <row r="183" spans="1:27" x14ac:dyDescent="0.3">
      <c r="A183" t="s">
        <v>789</v>
      </c>
      <c r="B183" s="1">
        <v>46182.512789351851</v>
      </c>
      <c r="C183" t="s">
        <v>1</v>
      </c>
      <c r="D183" t="s">
        <v>281</v>
      </c>
      <c r="E183" t="s">
        <v>318</v>
      </c>
      <c r="F183" t="s">
        <v>2140</v>
      </c>
      <c r="G183" t="s">
        <v>262</v>
      </c>
      <c r="H183" t="s">
        <v>762</v>
      </c>
      <c r="I183" t="s">
        <v>763</v>
      </c>
      <c r="J183" t="s">
        <v>764</v>
      </c>
      <c r="K183" t="s">
        <v>786</v>
      </c>
      <c r="L183">
        <v>0</v>
      </c>
      <c r="M183">
        <v>381</v>
      </c>
      <c r="N183">
        <v>13000</v>
      </c>
      <c r="O183">
        <v>30.85125</v>
      </c>
      <c r="P183">
        <v>35.611027999999997</v>
      </c>
      <c r="Q183" t="s">
        <v>790</v>
      </c>
      <c r="S183" t="s">
        <v>1776</v>
      </c>
      <c r="U183" t="s">
        <v>2141</v>
      </c>
      <c r="W183" t="s">
        <v>791</v>
      </c>
      <c r="Y183" t="str">
        <f t="shared" si="11"/>
        <v/>
      </c>
      <c r="Z183" t="str">
        <f t="shared" si="12"/>
        <v/>
      </c>
      <c r="AA183" t="str">
        <f>IF(NOT("https://maps.app.goo.gl/nzvihjacCQVKVv8r8" = ""), HYPERLINK("https://maps.app.goo.gl/nzvihjacCQVKVv8r8", "موقع"), "")</f>
        <v>موقع</v>
      </c>
    </row>
    <row r="184" spans="1:27" x14ac:dyDescent="0.3">
      <c r="A184" t="s">
        <v>792</v>
      </c>
      <c r="B184" s="1">
        <v>46182.512789351851</v>
      </c>
      <c r="C184" t="s">
        <v>1</v>
      </c>
      <c r="D184" t="s">
        <v>281</v>
      </c>
      <c r="E184" t="s">
        <v>318</v>
      </c>
      <c r="F184" t="s">
        <v>2142</v>
      </c>
      <c r="G184" t="s">
        <v>262</v>
      </c>
      <c r="H184" t="s">
        <v>762</v>
      </c>
      <c r="I184" t="s">
        <v>763</v>
      </c>
      <c r="J184" t="s">
        <v>764</v>
      </c>
      <c r="K184" t="s">
        <v>786</v>
      </c>
      <c r="L184">
        <v>0</v>
      </c>
      <c r="M184">
        <v>246</v>
      </c>
      <c r="N184">
        <v>36000</v>
      </c>
      <c r="O184">
        <v>30.854278000000001</v>
      </c>
      <c r="P184">
        <v>35.608832999999997</v>
      </c>
      <c r="Q184" t="s">
        <v>793</v>
      </c>
      <c r="S184" t="s">
        <v>1776</v>
      </c>
      <c r="U184" t="s">
        <v>2143</v>
      </c>
      <c r="W184" t="s">
        <v>794</v>
      </c>
      <c r="Y184" t="str">
        <f t="shared" si="11"/>
        <v/>
      </c>
      <c r="Z184" t="str">
        <f t="shared" si="12"/>
        <v/>
      </c>
      <c r="AA184" t="str">
        <f>IF(NOT("https://maps.app.goo.gl/GyuKSSrucU1mHS8PA" = ""), HYPERLINK("https://maps.app.goo.gl/GyuKSSrucU1mHS8PA", "موقع"), "")</f>
        <v>موقع</v>
      </c>
    </row>
    <row r="185" spans="1:27" x14ac:dyDescent="0.3">
      <c r="A185" t="s">
        <v>795</v>
      </c>
      <c r="B185" s="1">
        <v>46182.512789351851</v>
      </c>
      <c r="C185" t="s">
        <v>1</v>
      </c>
      <c r="D185" t="s">
        <v>391</v>
      </c>
      <c r="E185" t="s">
        <v>318</v>
      </c>
      <c r="F185" t="s">
        <v>2144</v>
      </c>
      <c r="G185" t="s">
        <v>390</v>
      </c>
      <c r="H185" t="s">
        <v>762</v>
      </c>
      <c r="I185" t="s">
        <v>763</v>
      </c>
      <c r="J185" t="s">
        <v>764</v>
      </c>
      <c r="K185" t="s">
        <v>796</v>
      </c>
      <c r="L185">
        <v>0</v>
      </c>
      <c r="M185">
        <v>31</v>
      </c>
      <c r="N185">
        <v>5000</v>
      </c>
      <c r="O185">
        <v>30.850249999999999</v>
      </c>
      <c r="P185">
        <v>35.607999999999997</v>
      </c>
      <c r="Q185" t="s">
        <v>797</v>
      </c>
      <c r="S185" t="s">
        <v>1776</v>
      </c>
      <c r="T185" t="s">
        <v>2145</v>
      </c>
      <c r="U185" t="s">
        <v>2146</v>
      </c>
      <c r="W185" t="s">
        <v>798</v>
      </c>
      <c r="Y185" t="str">
        <f t="shared" si="11"/>
        <v/>
      </c>
      <c r="Z185" t="str">
        <f t="shared" si="12"/>
        <v/>
      </c>
      <c r="AA185" t="str">
        <f>IF(NOT("https://maps.app.goo.gl/522ACyue7Dw1ySsMA" = ""), HYPERLINK("https://maps.app.goo.gl/522ACyue7Dw1ySsMA", "موقع"), "")</f>
        <v>موقع</v>
      </c>
    </row>
    <row r="186" spans="1:27" x14ac:dyDescent="0.3">
      <c r="A186" t="s">
        <v>799</v>
      </c>
      <c r="B186" s="1">
        <v>46182.512789351851</v>
      </c>
      <c r="C186" t="s">
        <v>1</v>
      </c>
      <c r="D186" t="s">
        <v>391</v>
      </c>
      <c r="E186" t="s">
        <v>318</v>
      </c>
      <c r="F186" t="s">
        <v>2147</v>
      </c>
      <c r="G186" t="s">
        <v>390</v>
      </c>
      <c r="H186" t="s">
        <v>762</v>
      </c>
      <c r="I186" t="s">
        <v>763</v>
      </c>
      <c r="J186" t="s">
        <v>764</v>
      </c>
      <c r="K186" t="s">
        <v>800</v>
      </c>
      <c r="L186">
        <v>0</v>
      </c>
      <c r="M186">
        <v>648</v>
      </c>
      <c r="N186">
        <v>6000</v>
      </c>
      <c r="Q186" t="s">
        <v>801</v>
      </c>
      <c r="S186" t="s">
        <v>1776</v>
      </c>
      <c r="T186" t="s">
        <v>2148</v>
      </c>
      <c r="W186" t="s">
        <v>802</v>
      </c>
      <c r="Y186" t="str">
        <f t="shared" si="11"/>
        <v/>
      </c>
      <c r="Z186" t="str">
        <f t="shared" si="12"/>
        <v/>
      </c>
      <c r="AA186" t="str">
        <f>IF(NOT("" = ""), HYPERLINK("", "موقع"), "")</f>
        <v/>
      </c>
    </row>
    <row r="187" spans="1:27" x14ac:dyDescent="0.3">
      <c r="A187" t="s">
        <v>803</v>
      </c>
      <c r="B187" s="1">
        <v>46182.512789351851</v>
      </c>
      <c r="C187" t="s">
        <v>1</v>
      </c>
      <c r="D187" t="s">
        <v>391</v>
      </c>
      <c r="E187" t="s">
        <v>779</v>
      </c>
      <c r="F187" t="s">
        <v>2149</v>
      </c>
      <c r="G187" t="s">
        <v>390</v>
      </c>
      <c r="H187" t="s">
        <v>762</v>
      </c>
      <c r="I187" t="s">
        <v>763</v>
      </c>
      <c r="J187" t="s">
        <v>764</v>
      </c>
      <c r="K187" t="s">
        <v>778</v>
      </c>
      <c r="L187">
        <v>0</v>
      </c>
      <c r="M187">
        <v>926</v>
      </c>
      <c r="N187">
        <v>8000</v>
      </c>
      <c r="O187">
        <v>30.838028000000001</v>
      </c>
      <c r="P187">
        <v>35.636443999999997</v>
      </c>
      <c r="Q187" t="s">
        <v>804</v>
      </c>
      <c r="S187" t="s">
        <v>1776</v>
      </c>
      <c r="T187" t="s">
        <v>2150</v>
      </c>
      <c r="U187" t="s">
        <v>2151</v>
      </c>
      <c r="W187" t="s">
        <v>805</v>
      </c>
      <c r="Y187" t="str">
        <f t="shared" si="11"/>
        <v/>
      </c>
      <c r="Z187" t="str">
        <f t="shared" si="12"/>
        <v/>
      </c>
      <c r="AA187" t="str">
        <f>IF(NOT("https://maps.app.goo.gl/DTJbF2G5AkCBaap36" = ""), HYPERLINK("https://maps.app.goo.gl/DTJbF2G5AkCBaap36", "موقع"), "")</f>
        <v>موقع</v>
      </c>
    </row>
    <row r="188" spans="1:27" x14ac:dyDescent="0.3">
      <c r="A188" t="s">
        <v>806</v>
      </c>
      <c r="B188" s="1">
        <v>46182.512789351851</v>
      </c>
      <c r="C188" t="s">
        <v>1</v>
      </c>
      <c r="D188" t="s">
        <v>391</v>
      </c>
      <c r="E188" t="s">
        <v>807</v>
      </c>
      <c r="F188" t="s">
        <v>2152</v>
      </c>
      <c r="G188" t="s">
        <v>390</v>
      </c>
      <c r="H188" t="s">
        <v>762</v>
      </c>
      <c r="I188" t="s">
        <v>763</v>
      </c>
      <c r="J188" t="s">
        <v>764</v>
      </c>
      <c r="K188" t="s">
        <v>786</v>
      </c>
      <c r="L188">
        <v>0</v>
      </c>
      <c r="M188">
        <v>383</v>
      </c>
      <c r="N188">
        <v>11000</v>
      </c>
      <c r="O188">
        <v>30.851555999999999</v>
      </c>
      <c r="P188">
        <v>35.611832999999997</v>
      </c>
      <c r="Q188" t="s">
        <v>808</v>
      </c>
      <c r="S188" t="s">
        <v>1776</v>
      </c>
      <c r="T188" t="s">
        <v>2153</v>
      </c>
      <c r="U188" t="s">
        <v>2154</v>
      </c>
      <c r="W188" t="s">
        <v>809</v>
      </c>
      <c r="Y188" t="str">
        <f t="shared" si="11"/>
        <v/>
      </c>
      <c r="Z188" t="str">
        <f t="shared" si="12"/>
        <v/>
      </c>
      <c r="AA188" t="str">
        <f>IF(NOT("https://maps.app.goo.gl/KRB3rzP3aWv4DZrw9" = ""), HYPERLINK("https://maps.app.goo.gl/KRB3rzP3aWv4DZrw9", "موقع"), "")</f>
        <v>موقع</v>
      </c>
    </row>
    <row r="189" spans="1:27" x14ac:dyDescent="0.3">
      <c r="A189" t="s">
        <v>810</v>
      </c>
      <c r="B189" s="1">
        <v>46182.512789351851</v>
      </c>
      <c r="C189" t="s">
        <v>1</v>
      </c>
      <c r="D189" t="s">
        <v>391</v>
      </c>
      <c r="E189" t="s">
        <v>318</v>
      </c>
      <c r="F189" t="s">
        <v>2155</v>
      </c>
      <c r="G189" t="s">
        <v>390</v>
      </c>
      <c r="H189" t="s">
        <v>762</v>
      </c>
      <c r="I189" t="s">
        <v>763</v>
      </c>
      <c r="J189" t="s">
        <v>764</v>
      </c>
      <c r="K189" t="s">
        <v>811</v>
      </c>
      <c r="L189">
        <v>0</v>
      </c>
      <c r="M189">
        <v>8</v>
      </c>
      <c r="N189">
        <v>12000</v>
      </c>
      <c r="O189">
        <v>30.778721999999998</v>
      </c>
      <c r="P189">
        <v>35.745722000000001</v>
      </c>
      <c r="Q189" t="s">
        <v>812</v>
      </c>
      <c r="S189" t="s">
        <v>1776</v>
      </c>
      <c r="U189" t="s">
        <v>2156</v>
      </c>
      <c r="W189" t="s">
        <v>813</v>
      </c>
      <c r="Y189" t="str">
        <f t="shared" si="11"/>
        <v/>
      </c>
      <c r="Z189" t="str">
        <f t="shared" si="12"/>
        <v/>
      </c>
      <c r="AA189" t="str">
        <f>IF(NOT("https://maps.app.goo.gl/MB26VjWss3DaSAVd7" = ""), HYPERLINK("https://maps.app.goo.gl/MB26VjWss3DaSAVd7", "موقع"), "")</f>
        <v>موقع</v>
      </c>
    </row>
    <row r="190" spans="1:27" x14ac:dyDescent="0.3">
      <c r="A190" t="s">
        <v>814</v>
      </c>
      <c r="B190" s="1">
        <v>46182.512789351851</v>
      </c>
      <c r="C190" t="s">
        <v>1</v>
      </c>
      <c r="D190" t="s">
        <v>391</v>
      </c>
      <c r="E190" t="s">
        <v>816</v>
      </c>
      <c r="F190" t="s">
        <v>2157</v>
      </c>
      <c r="G190" t="s">
        <v>390</v>
      </c>
      <c r="H190" t="s">
        <v>762</v>
      </c>
      <c r="I190" t="s">
        <v>763</v>
      </c>
      <c r="J190" t="s">
        <v>764</v>
      </c>
      <c r="K190" t="s">
        <v>815</v>
      </c>
      <c r="L190">
        <v>0</v>
      </c>
      <c r="M190">
        <v>11</v>
      </c>
      <c r="N190">
        <v>15000</v>
      </c>
      <c r="O190">
        <v>30.842193999999999</v>
      </c>
      <c r="P190">
        <v>35.598166999999997</v>
      </c>
      <c r="Q190" t="s">
        <v>817</v>
      </c>
      <c r="S190" t="s">
        <v>1776</v>
      </c>
      <c r="T190" t="s">
        <v>2158</v>
      </c>
      <c r="U190" t="s">
        <v>2159</v>
      </c>
      <c r="W190" t="s">
        <v>818</v>
      </c>
      <c r="Y190" t="str">
        <f t="shared" si="11"/>
        <v/>
      </c>
      <c r="Z190" t="str">
        <f t="shared" si="12"/>
        <v/>
      </c>
      <c r="AA190" t="str">
        <f>IF(NOT("https://maps.app.goo.gl/kKmnpxAguuxxMbsAA" = ""), HYPERLINK("https://maps.app.goo.gl/kKmnpxAguuxxMbsAA", "موقع"), "")</f>
        <v>موقع</v>
      </c>
    </row>
    <row r="191" spans="1:27" x14ac:dyDescent="0.3">
      <c r="A191" t="s">
        <v>819</v>
      </c>
      <c r="B191" s="1">
        <v>46182.512789351851</v>
      </c>
      <c r="C191" t="s">
        <v>1</v>
      </c>
      <c r="D191" t="s">
        <v>391</v>
      </c>
      <c r="E191" t="s">
        <v>318</v>
      </c>
      <c r="F191" t="s">
        <v>2160</v>
      </c>
      <c r="G191" t="s">
        <v>390</v>
      </c>
      <c r="H191" t="s">
        <v>762</v>
      </c>
      <c r="I191" t="s">
        <v>763</v>
      </c>
      <c r="J191" t="s">
        <v>764</v>
      </c>
      <c r="K191" t="s">
        <v>820</v>
      </c>
      <c r="L191">
        <v>0</v>
      </c>
      <c r="M191">
        <v>19</v>
      </c>
      <c r="N191">
        <v>17000</v>
      </c>
      <c r="O191">
        <v>30.813889</v>
      </c>
      <c r="P191">
        <v>35.602027999999997</v>
      </c>
      <c r="Q191" t="s">
        <v>821</v>
      </c>
      <c r="S191" t="s">
        <v>1776</v>
      </c>
      <c r="T191" t="s">
        <v>2161</v>
      </c>
      <c r="U191" t="s">
        <v>2162</v>
      </c>
      <c r="W191" t="s">
        <v>822</v>
      </c>
      <c r="Y191" t="str">
        <f t="shared" si="11"/>
        <v/>
      </c>
      <c r="Z191" t="str">
        <f t="shared" si="12"/>
        <v/>
      </c>
      <c r="AA191" t="str">
        <f>IF(NOT("https://maps.app.goo.gl/bbntg53bmAVeQbJK7" = ""), HYPERLINK("https://maps.app.goo.gl/bbntg53bmAVeQbJK7", "موقع"), "")</f>
        <v>موقع</v>
      </c>
    </row>
    <row r="192" spans="1:27" x14ac:dyDescent="0.3">
      <c r="A192" t="s">
        <v>823</v>
      </c>
      <c r="B192" s="1">
        <v>46182.512789351851</v>
      </c>
      <c r="C192" t="s">
        <v>1</v>
      </c>
      <c r="D192" t="s">
        <v>391</v>
      </c>
      <c r="E192" t="s">
        <v>318</v>
      </c>
      <c r="F192" t="s">
        <v>2163</v>
      </c>
      <c r="G192" t="s">
        <v>390</v>
      </c>
      <c r="H192" t="s">
        <v>762</v>
      </c>
      <c r="I192" t="s">
        <v>763</v>
      </c>
      <c r="J192" t="s">
        <v>764</v>
      </c>
      <c r="K192" t="s">
        <v>783</v>
      </c>
      <c r="L192">
        <v>0</v>
      </c>
      <c r="M192">
        <v>165</v>
      </c>
      <c r="N192">
        <v>35000</v>
      </c>
      <c r="O192">
        <v>30.886972</v>
      </c>
      <c r="P192">
        <v>35.677750000000003</v>
      </c>
      <c r="Q192" t="s">
        <v>824</v>
      </c>
      <c r="S192" t="s">
        <v>1776</v>
      </c>
      <c r="T192" t="s">
        <v>2164</v>
      </c>
      <c r="U192" t="s">
        <v>2165</v>
      </c>
      <c r="W192" t="s">
        <v>825</v>
      </c>
      <c r="Y192" t="str">
        <f t="shared" ref="Y192:Y199" si="13">IF(NOT("" = ""), HYPERLINK("", "فيديو"), "")</f>
        <v/>
      </c>
      <c r="Z192" t="str">
        <f t="shared" si="12"/>
        <v/>
      </c>
      <c r="AA192" t="str">
        <f>IF(NOT("https://maps.app.goo.gl/6YUJcyfF31sEYAWM8" = ""), HYPERLINK("https://maps.app.goo.gl/6YUJcyfF31sEYAWM8", "موقع"), "")</f>
        <v>موقع</v>
      </c>
    </row>
    <row r="193" spans="1:27" x14ac:dyDescent="0.3">
      <c r="A193" t="s">
        <v>826</v>
      </c>
      <c r="B193" s="1">
        <v>46182.512789351851</v>
      </c>
      <c r="C193" t="s">
        <v>1</v>
      </c>
      <c r="D193" t="s">
        <v>827</v>
      </c>
      <c r="E193" t="s">
        <v>832</v>
      </c>
      <c r="F193" t="s">
        <v>2166</v>
      </c>
      <c r="G193" t="s">
        <v>20</v>
      </c>
      <c r="H193" t="s">
        <v>828</v>
      </c>
      <c r="I193" t="s">
        <v>829</v>
      </c>
      <c r="J193" t="s">
        <v>830</v>
      </c>
      <c r="K193" t="s">
        <v>831</v>
      </c>
      <c r="L193">
        <v>-1027</v>
      </c>
      <c r="M193">
        <v>1580</v>
      </c>
      <c r="N193">
        <v>8000</v>
      </c>
      <c r="O193">
        <v>31.968</v>
      </c>
      <c r="P193">
        <v>35.916333000000002</v>
      </c>
      <c r="Q193" t="s">
        <v>833</v>
      </c>
      <c r="S193" t="s">
        <v>1776</v>
      </c>
      <c r="U193" t="s">
        <v>2167</v>
      </c>
      <c r="V193" t="s">
        <v>27</v>
      </c>
      <c r="W193" t="s">
        <v>834</v>
      </c>
      <c r="Y193" t="str">
        <f t="shared" si="13"/>
        <v/>
      </c>
      <c r="Z193" t="str">
        <f t="shared" si="12"/>
        <v/>
      </c>
      <c r="AA193" t="str">
        <f>IF(NOT("https://maps.app.goo.gl/GNPJvfncnCM8V7ZDA" = ""), HYPERLINK("https://maps.app.goo.gl/GNPJvfncnCM8V7ZDA", "موقع"), "")</f>
        <v>موقع</v>
      </c>
    </row>
    <row r="194" spans="1:27" x14ac:dyDescent="0.3">
      <c r="A194" t="s">
        <v>835</v>
      </c>
      <c r="B194" s="1">
        <v>46182.512789351851</v>
      </c>
      <c r="C194" t="s">
        <v>1</v>
      </c>
      <c r="D194" t="s">
        <v>827</v>
      </c>
      <c r="E194" t="s">
        <v>832</v>
      </c>
      <c r="F194" t="s">
        <v>2168</v>
      </c>
      <c r="G194" t="s">
        <v>20</v>
      </c>
      <c r="H194" t="s">
        <v>828</v>
      </c>
      <c r="I194" t="s">
        <v>829</v>
      </c>
      <c r="J194" t="s">
        <v>830</v>
      </c>
      <c r="K194" t="s">
        <v>831</v>
      </c>
      <c r="L194">
        <v>-1020</v>
      </c>
      <c r="M194">
        <v>1580</v>
      </c>
      <c r="N194">
        <v>21000</v>
      </c>
      <c r="O194">
        <v>31.968</v>
      </c>
      <c r="P194">
        <v>35.916333000000002</v>
      </c>
      <c r="Q194" t="s">
        <v>836</v>
      </c>
      <c r="S194" t="s">
        <v>1776</v>
      </c>
      <c r="U194" t="s">
        <v>2167</v>
      </c>
      <c r="V194" t="s">
        <v>27</v>
      </c>
      <c r="W194" t="s">
        <v>837</v>
      </c>
      <c r="Y194" t="str">
        <f t="shared" si="13"/>
        <v/>
      </c>
      <c r="Z194" t="str">
        <f t="shared" si="12"/>
        <v/>
      </c>
      <c r="AA194" t="str">
        <f>IF(NOT("https://maps.app.goo.gl/GNPJvfncnCM8V7ZDA" = ""), HYPERLINK("https://maps.app.goo.gl/GNPJvfncnCM8V7ZDA", "موقع"), "")</f>
        <v>موقع</v>
      </c>
    </row>
    <row r="195" spans="1:27" x14ac:dyDescent="0.3">
      <c r="A195" t="s">
        <v>838</v>
      </c>
      <c r="B195" s="1">
        <v>46182.512789351851</v>
      </c>
      <c r="C195" t="s">
        <v>1</v>
      </c>
      <c r="D195" t="s">
        <v>827</v>
      </c>
      <c r="E195" t="s">
        <v>832</v>
      </c>
      <c r="F195" t="s">
        <v>2169</v>
      </c>
      <c r="G195" t="s">
        <v>20</v>
      </c>
      <c r="H195" t="s">
        <v>828</v>
      </c>
      <c r="I195" t="s">
        <v>829</v>
      </c>
      <c r="J195" t="s">
        <v>830</v>
      </c>
      <c r="K195" t="s">
        <v>831</v>
      </c>
      <c r="L195">
        <v>-1021</v>
      </c>
      <c r="M195">
        <v>1580</v>
      </c>
      <c r="N195">
        <v>23000</v>
      </c>
      <c r="O195">
        <v>31.968</v>
      </c>
      <c r="P195">
        <v>35.916333000000002</v>
      </c>
      <c r="Q195" t="s">
        <v>839</v>
      </c>
      <c r="S195" t="s">
        <v>1776</v>
      </c>
      <c r="U195" t="s">
        <v>2170</v>
      </c>
      <c r="V195" t="s">
        <v>27</v>
      </c>
      <c r="W195" t="s">
        <v>840</v>
      </c>
      <c r="Y195" t="str">
        <f t="shared" si="13"/>
        <v/>
      </c>
      <c r="Z195" t="str">
        <f t="shared" si="12"/>
        <v/>
      </c>
      <c r="AA195" t="str">
        <f>IF(NOT("https://maps.app.goo.gl/PmwE1hpK62FCGpay8" = ""), HYPERLINK("https://maps.app.goo.gl/PmwE1hpK62FCGpay8", "موقع"), "")</f>
        <v>موقع</v>
      </c>
    </row>
    <row r="196" spans="1:27" x14ac:dyDescent="0.3">
      <c r="A196" t="s">
        <v>841</v>
      </c>
      <c r="B196" s="1">
        <v>46182.512789351851</v>
      </c>
      <c r="C196" t="s">
        <v>1</v>
      </c>
      <c r="D196" t="s">
        <v>827</v>
      </c>
      <c r="E196" t="s">
        <v>832</v>
      </c>
      <c r="F196" t="s">
        <v>2171</v>
      </c>
      <c r="G196" t="s">
        <v>20</v>
      </c>
      <c r="H196" t="s">
        <v>828</v>
      </c>
      <c r="I196" t="s">
        <v>829</v>
      </c>
      <c r="J196" t="s">
        <v>830</v>
      </c>
      <c r="K196" t="s">
        <v>831</v>
      </c>
      <c r="L196">
        <v>-1013</v>
      </c>
      <c r="M196">
        <v>1580</v>
      </c>
      <c r="N196">
        <v>27000</v>
      </c>
      <c r="O196">
        <v>31.968</v>
      </c>
      <c r="P196">
        <v>35.916333000000002</v>
      </c>
      <c r="Q196" t="s">
        <v>842</v>
      </c>
      <c r="S196" t="s">
        <v>1776</v>
      </c>
      <c r="U196" t="s">
        <v>2167</v>
      </c>
      <c r="V196" t="s">
        <v>27</v>
      </c>
      <c r="W196" t="s">
        <v>843</v>
      </c>
      <c r="Y196" t="str">
        <f t="shared" si="13"/>
        <v/>
      </c>
      <c r="Z196" t="str">
        <f t="shared" si="12"/>
        <v/>
      </c>
      <c r="AA196" t="str">
        <f>IF(NOT("https://maps.app.goo.gl/GNPJvfncnCM8V7ZDA" = ""), HYPERLINK("https://maps.app.goo.gl/GNPJvfncnCM8V7ZDA", "موقع"), "")</f>
        <v>موقع</v>
      </c>
    </row>
    <row r="197" spans="1:27" x14ac:dyDescent="0.3">
      <c r="A197" t="s">
        <v>844</v>
      </c>
      <c r="B197" s="1">
        <v>46182.512789351851</v>
      </c>
      <c r="C197" t="s">
        <v>1</v>
      </c>
      <c r="D197" t="s">
        <v>827</v>
      </c>
      <c r="E197" t="s">
        <v>832</v>
      </c>
      <c r="F197" t="s">
        <v>2172</v>
      </c>
      <c r="G197" t="s">
        <v>20</v>
      </c>
      <c r="H197" t="s">
        <v>828</v>
      </c>
      <c r="I197" t="s">
        <v>829</v>
      </c>
      <c r="J197" t="s">
        <v>830</v>
      </c>
      <c r="K197" t="s">
        <v>831</v>
      </c>
      <c r="L197">
        <v>-1012</v>
      </c>
      <c r="M197">
        <v>1580</v>
      </c>
      <c r="N197">
        <v>28000</v>
      </c>
      <c r="O197">
        <v>31.968</v>
      </c>
      <c r="P197">
        <v>35.916333000000002</v>
      </c>
      <c r="Q197" t="s">
        <v>38</v>
      </c>
      <c r="S197" t="s">
        <v>1776</v>
      </c>
      <c r="U197" t="s">
        <v>2167</v>
      </c>
      <c r="V197" t="s">
        <v>27</v>
      </c>
      <c r="W197" t="s">
        <v>845</v>
      </c>
      <c r="Y197" t="str">
        <f t="shared" si="13"/>
        <v/>
      </c>
      <c r="Z197" t="str">
        <f t="shared" si="12"/>
        <v/>
      </c>
      <c r="AA197" t="str">
        <f>IF(NOT("https://maps.app.goo.gl/GNPJvfncnCM8V7ZDA" = ""), HYPERLINK("https://maps.app.goo.gl/GNPJvfncnCM8V7ZDA", "موقع"), "")</f>
        <v>موقع</v>
      </c>
    </row>
    <row r="198" spans="1:27" x14ac:dyDescent="0.3">
      <c r="A198" t="s">
        <v>846</v>
      </c>
      <c r="B198" s="1">
        <v>46182.512789351851</v>
      </c>
      <c r="C198" t="s">
        <v>1</v>
      </c>
      <c r="D198" t="s">
        <v>21</v>
      </c>
      <c r="E198" t="s">
        <v>848</v>
      </c>
      <c r="F198" t="s">
        <v>2173</v>
      </c>
      <c r="G198" t="s">
        <v>20</v>
      </c>
      <c r="H198" t="s">
        <v>828</v>
      </c>
      <c r="I198" t="s">
        <v>829</v>
      </c>
      <c r="J198" t="s">
        <v>830</v>
      </c>
      <c r="K198" t="s">
        <v>847</v>
      </c>
      <c r="L198">
        <v>103</v>
      </c>
      <c r="M198">
        <v>281</v>
      </c>
      <c r="N198">
        <v>13000</v>
      </c>
      <c r="O198">
        <v>31.937694</v>
      </c>
      <c r="P198">
        <v>35.932721999999998</v>
      </c>
      <c r="Q198" t="s">
        <v>849</v>
      </c>
      <c r="S198" t="s">
        <v>1776</v>
      </c>
      <c r="U198" t="s">
        <v>2174</v>
      </c>
      <c r="V198" t="s">
        <v>41</v>
      </c>
      <c r="W198" t="s">
        <v>850</v>
      </c>
      <c r="Y198" t="str">
        <f t="shared" si="13"/>
        <v/>
      </c>
      <c r="Z198" t="str">
        <f t="shared" si="12"/>
        <v/>
      </c>
      <c r="AA198" t="str">
        <f>IF(NOT("https://maps.app.goo.gl/9oqv8F4tu54M7ChF6" = ""), HYPERLINK("https://maps.app.goo.gl/9oqv8F4tu54M7ChF6", "موقع"), "")</f>
        <v>موقع</v>
      </c>
    </row>
    <row r="199" spans="1:27" x14ac:dyDescent="0.3">
      <c r="A199" t="s">
        <v>851</v>
      </c>
      <c r="B199" s="1">
        <v>46182.512789351851</v>
      </c>
      <c r="C199" t="s">
        <v>1</v>
      </c>
      <c r="D199" t="s">
        <v>21</v>
      </c>
      <c r="E199" t="s">
        <v>832</v>
      </c>
      <c r="F199" t="s">
        <v>2175</v>
      </c>
      <c r="G199" t="s">
        <v>20</v>
      </c>
      <c r="H199" t="s">
        <v>828</v>
      </c>
      <c r="I199" t="s">
        <v>829</v>
      </c>
      <c r="J199" t="s">
        <v>830</v>
      </c>
      <c r="K199" t="s">
        <v>831</v>
      </c>
      <c r="L199">
        <v>-1022</v>
      </c>
      <c r="M199">
        <v>1580</v>
      </c>
      <c r="N199">
        <v>24000</v>
      </c>
      <c r="O199">
        <v>31.968</v>
      </c>
      <c r="P199">
        <v>35.916333000000002</v>
      </c>
      <c r="Q199" t="s">
        <v>852</v>
      </c>
      <c r="S199" t="s">
        <v>1776</v>
      </c>
      <c r="U199" t="s">
        <v>2170</v>
      </c>
      <c r="V199" t="s">
        <v>27</v>
      </c>
      <c r="W199" t="s">
        <v>853</v>
      </c>
      <c r="Y199" t="str">
        <f t="shared" si="13"/>
        <v/>
      </c>
      <c r="Z199" t="str">
        <f t="shared" si="12"/>
        <v/>
      </c>
      <c r="AA199" t="str">
        <f>IF(NOT("https://maps.app.goo.gl/PmwE1hpK62FCGpay8" = ""), HYPERLINK("https://maps.app.goo.gl/PmwE1hpK62FCGpay8", "موقع"), "")</f>
        <v>موقع</v>
      </c>
    </row>
    <row r="200" spans="1:27" x14ac:dyDescent="0.3">
      <c r="A200" t="s">
        <v>854</v>
      </c>
      <c r="B200" s="1">
        <v>46182.512789351851</v>
      </c>
      <c r="C200" t="s">
        <v>1</v>
      </c>
      <c r="D200" t="s">
        <v>45</v>
      </c>
      <c r="E200" t="s">
        <v>856</v>
      </c>
      <c r="F200" t="s">
        <v>2176</v>
      </c>
      <c r="G200" t="s">
        <v>20</v>
      </c>
      <c r="H200" t="s">
        <v>828</v>
      </c>
      <c r="I200" t="s">
        <v>829</v>
      </c>
      <c r="J200" t="s">
        <v>830</v>
      </c>
      <c r="K200" t="s">
        <v>855</v>
      </c>
      <c r="L200">
        <v>121</v>
      </c>
      <c r="M200">
        <v>234</v>
      </c>
      <c r="N200">
        <v>124000</v>
      </c>
      <c r="O200">
        <v>31.941972</v>
      </c>
      <c r="P200">
        <v>35.892721999999999</v>
      </c>
      <c r="Q200" t="s">
        <v>857</v>
      </c>
      <c r="R200" t="s">
        <v>2177</v>
      </c>
      <c r="S200" t="s">
        <v>1828</v>
      </c>
      <c r="U200" t="s">
        <v>2178</v>
      </c>
      <c r="V200" t="s">
        <v>75</v>
      </c>
      <c r="W200" t="s">
        <v>858</v>
      </c>
      <c r="X200" t="s">
        <v>2179</v>
      </c>
      <c r="Y200" t="str">
        <f>IF(NOT("https://youtu.be/sWKfBmYY4cQ" = ""), HYPERLINK("https://youtu.be/sWKfBmYY4cQ", "فيديو"), "")</f>
        <v>فيديو</v>
      </c>
      <c r="Z200" t="str">
        <f>IF(NOT("https://truemarkets3d.net/3d-virtual-tour/housingbank-realestate/phase3/aq-re-100385/index.html" = ""), HYPERLINK("https://truemarkets3d.net/3d-virtual-tour/housingbank-realestate/phase3/aq-re-100385/index.html", "جولة"), "")</f>
        <v>جولة</v>
      </c>
      <c r="AA200" t="str">
        <f>IF(NOT("https://maps.app.goo.gl/3HcoYjFkhR7F6YYX6" = ""), HYPERLINK("https://maps.app.goo.gl/3HcoYjFkhR7F6YYX6", "موقع"), "")</f>
        <v>موقع</v>
      </c>
    </row>
    <row r="201" spans="1:27" x14ac:dyDescent="0.3">
      <c r="A201" t="s">
        <v>859</v>
      </c>
      <c r="B201" s="1">
        <v>46182.512789351851</v>
      </c>
      <c r="C201" t="s">
        <v>1</v>
      </c>
      <c r="D201" t="s">
        <v>54</v>
      </c>
      <c r="E201" t="s">
        <v>863</v>
      </c>
      <c r="F201" t="s">
        <v>2180</v>
      </c>
      <c r="G201" t="s">
        <v>20</v>
      </c>
      <c r="H201" t="s">
        <v>828</v>
      </c>
      <c r="I201" t="s">
        <v>860</v>
      </c>
      <c r="J201" t="s">
        <v>861</v>
      </c>
      <c r="K201" t="s">
        <v>862</v>
      </c>
      <c r="L201">
        <v>121</v>
      </c>
      <c r="M201">
        <v>1532</v>
      </c>
      <c r="N201">
        <v>8000</v>
      </c>
      <c r="Q201" t="s">
        <v>864</v>
      </c>
      <c r="S201" t="s">
        <v>1776</v>
      </c>
      <c r="V201" t="s">
        <v>75</v>
      </c>
      <c r="W201" t="s">
        <v>865</v>
      </c>
      <c r="Y201" t="str">
        <f t="shared" ref="Y201:Y207" si="14">IF(NOT("" = ""), HYPERLINK("", "فيديو"), "")</f>
        <v/>
      </c>
      <c r="Z201" t="str">
        <f t="shared" ref="Z201:Z206" si="15">IF(NOT("" = ""), HYPERLINK("", "جولة"), "")</f>
        <v/>
      </c>
      <c r="AA201" t="str">
        <f>IF(NOT("" = ""), HYPERLINK("", "موقع"), "")</f>
        <v/>
      </c>
    </row>
    <row r="202" spans="1:27" x14ac:dyDescent="0.3">
      <c r="A202" t="s">
        <v>866</v>
      </c>
      <c r="B202" s="1">
        <v>46182.512789351851</v>
      </c>
      <c r="C202" t="s">
        <v>1</v>
      </c>
      <c r="D202" t="s">
        <v>54</v>
      </c>
      <c r="E202" t="s">
        <v>863</v>
      </c>
      <c r="F202" t="s">
        <v>2181</v>
      </c>
      <c r="G202" t="s">
        <v>20</v>
      </c>
      <c r="H202" t="s">
        <v>828</v>
      </c>
      <c r="I202" t="s">
        <v>860</v>
      </c>
      <c r="J202" t="s">
        <v>861</v>
      </c>
      <c r="K202" t="s">
        <v>862</v>
      </c>
      <c r="L202">
        <v>122</v>
      </c>
      <c r="M202">
        <v>1532</v>
      </c>
      <c r="N202">
        <v>13000</v>
      </c>
      <c r="Q202" t="s">
        <v>867</v>
      </c>
      <c r="S202" t="s">
        <v>1776</v>
      </c>
      <c r="V202" t="s">
        <v>32</v>
      </c>
      <c r="W202" t="s">
        <v>868</v>
      </c>
      <c r="Y202" t="str">
        <f t="shared" si="14"/>
        <v/>
      </c>
      <c r="Z202" t="str">
        <f t="shared" si="15"/>
        <v/>
      </c>
      <c r="AA202" t="str">
        <f>IF(NOT("" = ""), HYPERLINK("", "موقع"), "")</f>
        <v/>
      </c>
    </row>
    <row r="203" spans="1:27" x14ac:dyDescent="0.3">
      <c r="A203" t="s">
        <v>869</v>
      </c>
      <c r="B203" s="1">
        <v>46182.512789351851</v>
      </c>
      <c r="C203" t="s">
        <v>1</v>
      </c>
      <c r="D203" t="s">
        <v>54</v>
      </c>
      <c r="E203" t="s">
        <v>870</v>
      </c>
      <c r="F203" t="s">
        <v>2182</v>
      </c>
      <c r="G203" t="s">
        <v>20</v>
      </c>
      <c r="H203" t="s">
        <v>828</v>
      </c>
      <c r="I203" t="s">
        <v>860</v>
      </c>
      <c r="J203" t="s">
        <v>861</v>
      </c>
      <c r="K203" t="s">
        <v>862</v>
      </c>
      <c r="L203">
        <v>-101</v>
      </c>
      <c r="M203">
        <v>1532</v>
      </c>
      <c r="N203">
        <v>16000</v>
      </c>
      <c r="Q203" t="s">
        <v>871</v>
      </c>
      <c r="S203" t="s">
        <v>1776</v>
      </c>
      <c r="V203" t="s">
        <v>27</v>
      </c>
      <c r="W203" t="s">
        <v>872</v>
      </c>
      <c r="Y203" t="str">
        <f t="shared" si="14"/>
        <v/>
      </c>
      <c r="Z203" t="str">
        <f t="shared" si="15"/>
        <v/>
      </c>
      <c r="AA203" t="str">
        <f>IF(NOT("" = ""), HYPERLINK("", "موقع"), "")</f>
        <v/>
      </c>
    </row>
    <row r="204" spans="1:27" x14ac:dyDescent="0.3">
      <c r="A204" t="s">
        <v>873</v>
      </c>
      <c r="B204" s="1">
        <v>46182.512789351851</v>
      </c>
      <c r="C204" t="s">
        <v>1</v>
      </c>
      <c r="D204" t="s">
        <v>54</v>
      </c>
      <c r="E204" t="s">
        <v>877</v>
      </c>
      <c r="F204" t="s">
        <v>2183</v>
      </c>
      <c r="G204" t="s">
        <v>20</v>
      </c>
      <c r="H204" t="s">
        <v>828</v>
      </c>
      <c r="I204" t="s">
        <v>874</v>
      </c>
      <c r="J204" t="s">
        <v>875</v>
      </c>
      <c r="K204" t="s">
        <v>876</v>
      </c>
      <c r="L204">
        <v>-103</v>
      </c>
      <c r="M204">
        <v>960</v>
      </c>
      <c r="N204">
        <v>19000</v>
      </c>
      <c r="O204">
        <v>31.978611000000001</v>
      </c>
      <c r="P204">
        <v>35.979222</v>
      </c>
      <c r="Q204" t="s">
        <v>546</v>
      </c>
      <c r="S204" t="s">
        <v>1776</v>
      </c>
      <c r="U204" t="s">
        <v>2184</v>
      </c>
      <c r="V204" t="s">
        <v>27</v>
      </c>
      <c r="W204" t="s">
        <v>878</v>
      </c>
      <c r="Y204" t="str">
        <f t="shared" si="14"/>
        <v/>
      </c>
      <c r="Z204" t="str">
        <f t="shared" si="15"/>
        <v/>
      </c>
      <c r="AA204" t="str">
        <f>IF(NOT("https://maps.app.goo.gl/VBweDiHNgF3JENxcA" = ""), HYPERLINK("https://maps.app.goo.gl/VBweDiHNgF3JENxcA", "موقع"), "")</f>
        <v>موقع</v>
      </c>
    </row>
    <row r="205" spans="1:27" x14ac:dyDescent="0.3">
      <c r="A205" t="s">
        <v>879</v>
      </c>
      <c r="B205" s="1">
        <v>46182.512789351851</v>
      </c>
      <c r="C205" t="s">
        <v>1</v>
      </c>
      <c r="D205" t="s">
        <v>54</v>
      </c>
      <c r="E205" t="s">
        <v>883</v>
      </c>
      <c r="F205" t="s">
        <v>2185</v>
      </c>
      <c r="G205" t="s">
        <v>20</v>
      </c>
      <c r="H205" t="s">
        <v>828</v>
      </c>
      <c r="I205" t="s">
        <v>880</v>
      </c>
      <c r="J205" t="s">
        <v>881</v>
      </c>
      <c r="K205" t="s">
        <v>882</v>
      </c>
      <c r="L205">
        <v>104</v>
      </c>
      <c r="M205">
        <v>827</v>
      </c>
      <c r="N205">
        <v>19000</v>
      </c>
      <c r="O205">
        <v>31.843139000000001</v>
      </c>
      <c r="P205">
        <v>35.982917</v>
      </c>
      <c r="Q205" t="s">
        <v>884</v>
      </c>
      <c r="S205" t="s">
        <v>1776</v>
      </c>
      <c r="U205" t="s">
        <v>2186</v>
      </c>
      <c r="V205" t="s">
        <v>41</v>
      </c>
      <c r="W205" t="s">
        <v>885</v>
      </c>
      <c r="Y205" t="str">
        <f t="shared" si="14"/>
        <v/>
      </c>
      <c r="Z205" t="str">
        <f t="shared" si="15"/>
        <v/>
      </c>
      <c r="AA205" t="str">
        <f>IF(NOT("https://maps.app.goo.gl/bWeoxqp64j34EsDz9" = ""), HYPERLINK("https://maps.app.goo.gl/bWeoxqp64j34EsDz9", "موقع"), "")</f>
        <v>موقع</v>
      </c>
    </row>
    <row r="206" spans="1:27" x14ac:dyDescent="0.3">
      <c r="A206" t="s">
        <v>886</v>
      </c>
      <c r="B206" s="1">
        <v>46182.512789351851</v>
      </c>
      <c r="C206" t="s">
        <v>1</v>
      </c>
      <c r="D206" t="s">
        <v>54</v>
      </c>
      <c r="E206" t="s">
        <v>889</v>
      </c>
      <c r="F206" t="s">
        <v>2187</v>
      </c>
      <c r="G206" t="s">
        <v>20</v>
      </c>
      <c r="H206" t="s">
        <v>828</v>
      </c>
      <c r="I206" t="s">
        <v>874</v>
      </c>
      <c r="J206" t="s">
        <v>887</v>
      </c>
      <c r="K206" t="s">
        <v>888</v>
      </c>
      <c r="L206">
        <v>111</v>
      </c>
      <c r="M206">
        <v>1152</v>
      </c>
      <c r="N206">
        <v>21000</v>
      </c>
      <c r="Q206" t="s">
        <v>890</v>
      </c>
      <c r="S206" t="s">
        <v>1776</v>
      </c>
      <c r="V206" t="s">
        <v>32</v>
      </c>
      <c r="W206" t="s">
        <v>891</v>
      </c>
      <c r="Y206" t="str">
        <f t="shared" si="14"/>
        <v/>
      </c>
      <c r="Z206" t="str">
        <f t="shared" si="15"/>
        <v/>
      </c>
      <c r="AA206" t="str">
        <f>IF(NOT("" = ""), HYPERLINK("", "موقع"), "")</f>
        <v/>
      </c>
    </row>
    <row r="207" spans="1:27" x14ac:dyDescent="0.3">
      <c r="A207" t="s">
        <v>892</v>
      </c>
      <c r="B207" s="1">
        <v>46182.512789351851</v>
      </c>
      <c r="C207" t="s">
        <v>1</v>
      </c>
      <c r="D207" t="s">
        <v>54</v>
      </c>
      <c r="E207" t="s">
        <v>895</v>
      </c>
      <c r="F207" t="s">
        <v>2188</v>
      </c>
      <c r="G207" t="s">
        <v>20</v>
      </c>
      <c r="H207" t="s">
        <v>828</v>
      </c>
      <c r="I207" t="s">
        <v>860</v>
      </c>
      <c r="J207" t="s">
        <v>893</v>
      </c>
      <c r="K207" t="s">
        <v>894</v>
      </c>
      <c r="L207">
        <v>123</v>
      </c>
      <c r="M207">
        <v>154</v>
      </c>
      <c r="N207">
        <v>21000</v>
      </c>
      <c r="O207">
        <v>31.918082999999999</v>
      </c>
      <c r="P207">
        <v>36.017000000000003</v>
      </c>
      <c r="Q207" t="s">
        <v>557</v>
      </c>
      <c r="R207" t="s">
        <v>2189</v>
      </c>
      <c r="S207" t="s">
        <v>1828</v>
      </c>
      <c r="U207" t="s">
        <v>2190</v>
      </c>
      <c r="V207" t="s">
        <v>75</v>
      </c>
      <c r="W207" t="s">
        <v>896</v>
      </c>
      <c r="Y207" t="str">
        <f t="shared" si="14"/>
        <v/>
      </c>
      <c r="Z207" t="str">
        <f>IF(NOT("https://truemarkets3d.net/3d-virtual-tour/housingbank-realestate/phase3/aq-re-100102/index.html" = ""), HYPERLINK("https://truemarkets3d.net/3d-virtual-tour/housingbank-realestate/phase3/aq-re-100102/index.html", "جولة"), "")</f>
        <v>جولة</v>
      </c>
      <c r="AA207" t="str">
        <f>IF(NOT("https://maps.app.goo.gl/18D643vFWhNA1VvUA" = ""), HYPERLINK("https://maps.app.goo.gl/18D643vFWhNA1VvUA", "موقع"), "")</f>
        <v>موقع</v>
      </c>
    </row>
    <row r="208" spans="1:27" x14ac:dyDescent="0.3">
      <c r="A208" t="s">
        <v>897</v>
      </c>
      <c r="B208" s="1">
        <v>46182.512789351851</v>
      </c>
      <c r="C208" t="s">
        <v>1</v>
      </c>
      <c r="D208" t="s">
        <v>54</v>
      </c>
      <c r="E208" t="s">
        <v>895</v>
      </c>
      <c r="F208" t="s">
        <v>2191</v>
      </c>
      <c r="G208" t="s">
        <v>20</v>
      </c>
      <c r="H208" t="s">
        <v>828</v>
      </c>
      <c r="I208" t="s">
        <v>860</v>
      </c>
      <c r="J208" t="s">
        <v>893</v>
      </c>
      <c r="K208" t="s">
        <v>894</v>
      </c>
      <c r="L208">
        <v>-101</v>
      </c>
      <c r="M208">
        <v>257</v>
      </c>
      <c r="N208">
        <v>21000</v>
      </c>
      <c r="O208">
        <v>31.921111</v>
      </c>
      <c r="P208">
        <v>36.009444000000002</v>
      </c>
      <c r="Q208" t="s">
        <v>898</v>
      </c>
      <c r="R208" t="s">
        <v>2192</v>
      </c>
      <c r="S208" t="s">
        <v>1828</v>
      </c>
      <c r="U208" t="s">
        <v>2193</v>
      </c>
      <c r="V208" t="s">
        <v>41</v>
      </c>
      <c r="W208" t="s">
        <v>899</v>
      </c>
      <c r="X208" t="s">
        <v>2194</v>
      </c>
      <c r="Y208" t="str">
        <f>IF(NOT("https://youtu.be/ZHZnvxhpPdU" = ""), HYPERLINK("https://youtu.be/ZHZnvxhpPdU", "فيديو"), "")</f>
        <v>فيديو</v>
      </c>
      <c r="Z208" t="str">
        <f>IF(NOT("https://truemarkets3d.net/3d-virtual-tour/housingbank-realestate/phase3/aq-re-100538/index.html" = ""), HYPERLINK("https://truemarkets3d.net/3d-virtual-tour/housingbank-realestate/phase3/aq-re-100538/index.html", "جولة"), "")</f>
        <v>جولة</v>
      </c>
      <c r="AA208" t="str">
        <f>IF(NOT("https://maps.app.goo.gl/gJgkxjtdkCa7kW5G6" = ""), HYPERLINK("https://maps.app.goo.gl/gJgkxjtdkCa7kW5G6", "موقع"), "")</f>
        <v>موقع</v>
      </c>
    </row>
    <row r="209" spans="1:27" x14ac:dyDescent="0.3">
      <c r="A209" t="s">
        <v>900</v>
      </c>
      <c r="B209" s="1">
        <v>46182.512789351851</v>
      </c>
      <c r="C209" t="s">
        <v>1</v>
      </c>
      <c r="D209" t="s">
        <v>54</v>
      </c>
      <c r="E209" t="s">
        <v>902</v>
      </c>
      <c r="F209" t="s">
        <v>2195</v>
      </c>
      <c r="G209" t="s">
        <v>20</v>
      </c>
      <c r="H209" t="s">
        <v>828</v>
      </c>
      <c r="I209" t="s">
        <v>874</v>
      </c>
      <c r="J209" t="s">
        <v>875</v>
      </c>
      <c r="K209" t="s">
        <v>901</v>
      </c>
      <c r="L209">
        <v>-814</v>
      </c>
      <c r="M209">
        <v>3266</v>
      </c>
      <c r="N209">
        <v>22000</v>
      </c>
      <c r="O209">
        <v>31.957750000000001</v>
      </c>
      <c r="P209">
        <v>35.995333000000002</v>
      </c>
      <c r="Q209" t="s">
        <v>903</v>
      </c>
      <c r="S209" t="s">
        <v>1776</v>
      </c>
      <c r="U209" t="s">
        <v>2196</v>
      </c>
      <c r="V209" t="s">
        <v>27</v>
      </c>
      <c r="W209" t="s">
        <v>904</v>
      </c>
      <c r="Y209" t="str">
        <f t="shared" ref="Y209:Y216" si="16">IF(NOT("" = ""), HYPERLINK("", "فيديو"), "")</f>
        <v/>
      </c>
      <c r="Z209" t="str">
        <f>IF(NOT("" = ""), HYPERLINK("", "جولة"), "")</f>
        <v/>
      </c>
      <c r="AA209" t="str">
        <f>IF(NOT("https://maps.app.goo.gl/7T7TVpSx9C8LK6M58" = ""), HYPERLINK("https://maps.app.goo.gl/7T7TVpSx9C8LK6M58", "موقع"), "")</f>
        <v>موقع</v>
      </c>
    </row>
    <row r="210" spans="1:27" x14ac:dyDescent="0.3">
      <c r="A210" t="s">
        <v>905</v>
      </c>
      <c r="B210" s="1">
        <v>46182.512789351851</v>
      </c>
      <c r="C210" t="s">
        <v>1</v>
      </c>
      <c r="D210" t="s">
        <v>54</v>
      </c>
      <c r="E210" t="s">
        <v>877</v>
      </c>
      <c r="F210" t="s">
        <v>2197</v>
      </c>
      <c r="G210" t="s">
        <v>20</v>
      </c>
      <c r="H210" t="s">
        <v>828</v>
      </c>
      <c r="I210" t="s">
        <v>874</v>
      </c>
      <c r="J210" t="s">
        <v>875</v>
      </c>
      <c r="K210" t="s">
        <v>906</v>
      </c>
      <c r="L210">
        <v>122</v>
      </c>
      <c r="M210">
        <v>3943</v>
      </c>
      <c r="N210">
        <v>23000</v>
      </c>
      <c r="Q210" t="s">
        <v>102</v>
      </c>
      <c r="S210" t="s">
        <v>1776</v>
      </c>
      <c r="V210" t="s">
        <v>75</v>
      </c>
      <c r="W210" t="s">
        <v>907</v>
      </c>
      <c r="Y210" t="str">
        <f t="shared" si="16"/>
        <v/>
      </c>
      <c r="Z210" t="str">
        <f>IF(NOT("" = ""), HYPERLINK("", "جولة"), "")</f>
        <v/>
      </c>
      <c r="AA210" t="str">
        <f>IF(NOT("" = ""), HYPERLINK("", "موقع"), "")</f>
        <v/>
      </c>
    </row>
    <row r="211" spans="1:27" x14ac:dyDescent="0.3">
      <c r="A211" t="s">
        <v>908</v>
      </c>
      <c r="B211" s="1">
        <v>46182.512789351851</v>
      </c>
      <c r="C211" t="s">
        <v>1</v>
      </c>
      <c r="D211" t="s">
        <v>54</v>
      </c>
      <c r="E211" t="s">
        <v>877</v>
      </c>
      <c r="F211" t="s">
        <v>2198</v>
      </c>
      <c r="G211" t="s">
        <v>20</v>
      </c>
      <c r="H211" t="s">
        <v>828</v>
      </c>
      <c r="I211" t="s">
        <v>874</v>
      </c>
      <c r="J211" t="s">
        <v>875</v>
      </c>
      <c r="K211" t="s">
        <v>906</v>
      </c>
      <c r="L211">
        <v>121</v>
      </c>
      <c r="M211">
        <v>3943</v>
      </c>
      <c r="N211">
        <v>23000</v>
      </c>
      <c r="O211">
        <v>31.986944000000001</v>
      </c>
      <c r="P211">
        <v>35.981417</v>
      </c>
      <c r="Q211" t="s">
        <v>102</v>
      </c>
      <c r="S211" t="s">
        <v>1776</v>
      </c>
      <c r="U211" t="s">
        <v>2199</v>
      </c>
      <c r="V211" t="s">
        <v>75</v>
      </c>
      <c r="W211" t="s">
        <v>907</v>
      </c>
      <c r="Y211" t="str">
        <f t="shared" si="16"/>
        <v/>
      </c>
      <c r="Z211" t="str">
        <f>IF(NOT("" = ""), HYPERLINK("", "جولة"), "")</f>
        <v/>
      </c>
      <c r="AA211" t="str">
        <f>IF(NOT("https://maps.app.goo.gl/CVUY1QsTKfAiCceLA" = ""), HYPERLINK("https://maps.app.goo.gl/CVUY1QsTKfAiCceLA", "موقع"), "")</f>
        <v>موقع</v>
      </c>
    </row>
    <row r="212" spans="1:27" x14ac:dyDescent="0.3">
      <c r="A212" t="s">
        <v>909</v>
      </c>
      <c r="B212" s="1">
        <v>46182.512789351851</v>
      </c>
      <c r="C212" t="s">
        <v>1</v>
      </c>
      <c r="D212" t="s">
        <v>54</v>
      </c>
      <c r="E212" t="s">
        <v>883</v>
      </c>
      <c r="F212" t="s">
        <v>2200</v>
      </c>
      <c r="G212" t="s">
        <v>20</v>
      </c>
      <c r="H212" t="s">
        <v>828</v>
      </c>
      <c r="I212" t="s">
        <v>880</v>
      </c>
      <c r="J212" t="s">
        <v>881</v>
      </c>
      <c r="K212" t="s">
        <v>882</v>
      </c>
      <c r="L212">
        <v>-101</v>
      </c>
      <c r="M212">
        <v>896</v>
      </c>
      <c r="N212">
        <v>23000</v>
      </c>
      <c r="O212">
        <v>31.842333</v>
      </c>
      <c r="P212">
        <v>35.982805999999997</v>
      </c>
      <c r="Q212" t="s">
        <v>579</v>
      </c>
      <c r="S212" t="s">
        <v>1776</v>
      </c>
      <c r="U212" t="s">
        <v>2201</v>
      </c>
      <c r="V212" t="s">
        <v>27</v>
      </c>
      <c r="W212" t="s">
        <v>910</v>
      </c>
      <c r="Y212" t="str">
        <f t="shared" si="16"/>
        <v/>
      </c>
      <c r="Z212" t="str">
        <f>IF(NOT("" = ""), HYPERLINK("", "جولة"), "")</f>
        <v/>
      </c>
      <c r="AA212" t="str">
        <f>IF(NOT("https://maps.app.goo.gl/Ex28ztdotoUbceN18" = ""), HYPERLINK("https://maps.app.goo.gl/Ex28ztdotoUbceN18", "موقع"), "")</f>
        <v>موقع</v>
      </c>
    </row>
    <row r="213" spans="1:27" x14ac:dyDescent="0.3">
      <c r="A213" t="s">
        <v>911</v>
      </c>
      <c r="B213" s="1">
        <v>46182.512789351851</v>
      </c>
      <c r="C213" t="s">
        <v>1</v>
      </c>
      <c r="D213" t="s">
        <v>54</v>
      </c>
      <c r="E213" t="s">
        <v>895</v>
      </c>
      <c r="F213" t="s">
        <v>2202</v>
      </c>
      <c r="G213" t="s">
        <v>20</v>
      </c>
      <c r="H213" t="s">
        <v>828</v>
      </c>
      <c r="I213" t="s">
        <v>860</v>
      </c>
      <c r="J213" t="s">
        <v>893</v>
      </c>
      <c r="K213" t="s">
        <v>894</v>
      </c>
      <c r="L213">
        <v>111</v>
      </c>
      <c r="M213">
        <v>308</v>
      </c>
      <c r="N213">
        <v>24000</v>
      </c>
      <c r="Q213" t="s">
        <v>579</v>
      </c>
      <c r="R213" t="s">
        <v>2203</v>
      </c>
      <c r="S213" t="s">
        <v>1828</v>
      </c>
      <c r="V213" t="s">
        <v>32</v>
      </c>
      <c r="W213" t="s">
        <v>912</v>
      </c>
      <c r="Y213" t="str">
        <f t="shared" si="16"/>
        <v/>
      </c>
      <c r="Z213" t="str">
        <f>IF(NOT("https://truemarkets3d.net/3d-virtual-tour/housingbank-realestate/phase3/aq-re-100366/index.html" = ""), HYPERLINK("https://truemarkets3d.net/3d-virtual-tour/housingbank-realestate/phase3/aq-re-100366/index.html", "جولة"), "")</f>
        <v>جولة</v>
      </c>
      <c r="AA213" t="str">
        <f>IF(NOT("" = ""), HYPERLINK("", "موقع"), "")</f>
        <v/>
      </c>
    </row>
    <row r="214" spans="1:27" x14ac:dyDescent="0.3">
      <c r="A214" t="s">
        <v>913</v>
      </c>
      <c r="B214" s="1">
        <v>46182.512789351851</v>
      </c>
      <c r="C214" t="s">
        <v>1</v>
      </c>
      <c r="D214" t="s">
        <v>54</v>
      </c>
      <c r="E214" t="s">
        <v>895</v>
      </c>
      <c r="F214" t="s">
        <v>2204</v>
      </c>
      <c r="G214" t="s">
        <v>20</v>
      </c>
      <c r="H214" t="s">
        <v>828</v>
      </c>
      <c r="I214" t="s">
        <v>860</v>
      </c>
      <c r="J214" t="s">
        <v>893</v>
      </c>
      <c r="K214" t="s">
        <v>914</v>
      </c>
      <c r="L214">
        <v>101</v>
      </c>
      <c r="M214">
        <v>366</v>
      </c>
      <c r="N214">
        <v>24000</v>
      </c>
      <c r="O214">
        <v>31.899305999999999</v>
      </c>
      <c r="P214">
        <v>35.992944000000001</v>
      </c>
      <c r="Q214" t="s">
        <v>766</v>
      </c>
      <c r="R214" t="s">
        <v>2205</v>
      </c>
      <c r="S214" t="s">
        <v>1828</v>
      </c>
      <c r="U214" t="s">
        <v>2206</v>
      </c>
      <c r="V214" t="s">
        <v>41</v>
      </c>
      <c r="W214" t="s">
        <v>915</v>
      </c>
      <c r="Y214" t="str">
        <f t="shared" si="16"/>
        <v/>
      </c>
      <c r="Z214" t="str">
        <f>IF(NOT("https://truemarkets3d.net/3d-virtual-tour/housingbank-realestate/phase3/aq-re-100344/index.html" = ""), HYPERLINK("https://truemarkets3d.net/3d-virtual-tour/housingbank-realestate/phase3/aq-re-100344/index.html", "جولة"), "")</f>
        <v>جولة</v>
      </c>
      <c r="AA214" t="str">
        <f>IF(NOT("https://maps.app.goo.gl/ERYJaf2se3aibHBUA" = ""), HYPERLINK("https://maps.app.goo.gl/ERYJaf2se3aibHBUA", "موقع"), "")</f>
        <v>موقع</v>
      </c>
    </row>
    <row r="215" spans="1:27" x14ac:dyDescent="0.3">
      <c r="A215" t="s">
        <v>916</v>
      </c>
      <c r="B215" s="1">
        <v>46182.512789351851</v>
      </c>
      <c r="C215" t="s">
        <v>1</v>
      </c>
      <c r="D215" t="s">
        <v>54</v>
      </c>
      <c r="E215" t="s">
        <v>870</v>
      </c>
      <c r="F215" t="s">
        <v>2207</v>
      </c>
      <c r="G215" t="s">
        <v>20</v>
      </c>
      <c r="H215" t="s">
        <v>828</v>
      </c>
      <c r="I215" t="s">
        <v>860</v>
      </c>
      <c r="J215" t="s">
        <v>861</v>
      </c>
      <c r="K215" t="s">
        <v>862</v>
      </c>
      <c r="L215">
        <v>112</v>
      </c>
      <c r="M215">
        <v>1532</v>
      </c>
      <c r="N215">
        <v>25000</v>
      </c>
      <c r="Q215" t="s">
        <v>867</v>
      </c>
      <c r="S215" t="s">
        <v>1776</v>
      </c>
      <c r="V215" t="s">
        <v>32</v>
      </c>
      <c r="W215" t="s">
        <v>917</v>
      </c>
      <c r="Y215" t="str">
        <f t="shared" si="16"/>
        <v/>
      </c>
      <c r="Z215" t="str">
        <f>IF(NOT("" = ""), HYPERLINK("", "جولة"), "")</f>
        <v/>
      </c>
      <c r="AA215" t="str">
        <f>IF(NOT("" = ""), HYPERLINK("", "موقع"), "")</f>
        <v/>
      </c>
    </row>
    <row r="216" spans="1:27" x14ac:dyDescent="0.3">
      <c r="A216" t="s">
        <v>918</v>
      </c>
      <c r="B216" s="1">
        <v>46182.512789351851</v>
      </c>
      <c r="C216" t="s">
        <v>1</v>
      </c>
      <c r="D216" t="s">
        <v>54</v>
      </c>
      <c r="E216" t="s">
        <v>877</v>
      </c>
      <c r="F216" t="s">
        <v>2208</v>
      </c>
      <c r="G216" t="s">
        <v>20</v>
      </c>
      <c r="H216" t="s">
        <v>828</v>
      </c>
      <c r="I216" t="s">
        <v>874</v>
      </c>
      <c r="J216" t="s">
        <v>875</v>
      </c>
      <c r="K216" t="s">
        <v>906</v>
      </c>
      <c r="L216">
        <v>116</v>
      </c>
      <c r="M216">
        <v>6220</v>
      </c>
      <c r="N216">
        <v>25000</v>
      </c>
      <c r="O216">
        <v>31.991472000000002</v>
      </c>
      <c r="P216">
        <v>35.983471999999999</v>
      </c>
      <c r="Q216" t="s">
        <v>102</v>
      </c>
      <c r="S216" t="s">
        <v>1776</v>
      </c>
      <c r="U216" t="s">
        <v>2209</v>
      </c>
      <c r="V216" t="s">
        <v>32</v>
      </c>
      <c r="W216" t="s">
        <v>919</v>
      </c>
      <c r="Y216" t="str">
        <f t="shared" si="16"/>
        <v/>
      </c>
      <c r="Z216" t="str">
        <f>IF(NOT("" = ""), HYPERLINK("", "جولة"), "")</f>
        <v/>
      </c>
      <c r="AA216" t="str">
        <f>IF(NOT("https://maps.app.goo.gl/aTx7pKjbh17iq25x8" = ""), HYPERLINK("https://maps.app.goo.gl/aTx7pKjbh17iq25x8", "موقع"), "")</f>
        <v>موقع</v>
      </c>
    </row>
    <row r="217" spans="1:27" x14ac:dyDescent="0.3">
      <c r="A217" t="s">
        <v>920</v>
      </c>
      <c r="B217" s="1">
        <v>46182.512789351851</v>
      </c>
      <c r="C217" t="s">
        <v>1</v>
      </c>
      <c r="D217" t="s">
        <v>54</v>
      </c>
      <c r="E217" t="s">
        <v>895</v>
      </c>
      <c r="F217" t="s">
        <v>2210</v>
      </c>
      <c r="G217" t="s">
        <v>20</v>
      </c>
      <c r="H217" t="s">
        <v>828</v>
      </c>
      <c r="I217" t="s">
        <v>860</v>
      </c>
      <c r="J217" t="s">
        <v>893</v>
      </c>
      <c r="K217" t="s">
        <v>894</v>
      </c>
      <c r="L217">
        <v>124</v>
      </c>
      <c r="M217">
        <v>281</v>
      </c>
      <c r="N217">
        <v>25000</v>
      </c>
      <c r="O217">
        <v>31.922611</v>
      </c>
      <c r="P217">
        <v>36.012777999999997</v>
      </c>
      <c r="Q217" t="s">
        <v>921</v>
      </c>
      <c r="R217" t="s">
        <v>2211</v>
      </c>
      <c r="S217" t="s">
        <v>1828</v>
      </c>
      <c r="U217" t="s">
        <v>2212</v>
      </c>
      <c r="V217" t="s">
        <v>75</v>
      </c>
      <c r="W217" t="s">
        <v>922</v>
      </c>
      <c r="X217" t="s">
        <v>2213</v>
      </c>
      <c r="Y217" t="str">
        <f>IF(NOT("https://youtu.be/ubFjmbx5NEI" = ""), HYPERLINK("https://youtu.be/ubFjmbx5NEI", "فيديو"), "")</f>
        <v>فيديو</v>
      </c>
      <c r="Z217" t="str">
        <f>IF(NOT("https://truemarkets3d.net/3d-virtual-tour/housingbank-realestate/phase3/aq-re-100514/index.html" = ""), HYPERLINK("https://truemarkets3d.net/3d-virtual-tour/housingbank-realestate/phase3/aq-re-100514/index.html", "جولة"), "")</f>
        <v>جولة</v>
      </c>
      <c r="AA217" t="str">
        <f>IF(NOT("https://maps.app.goo.gl/5sc3NScLkSbgC8vMA" = ""), HYPERLINK("https://maps.app.goo.gl/5sc3NScLkSbgC8vMA", "موقع"), "")</f>
        <v>موقع</v>
      </c>
    </row>
    <row r="218" spans="1:27" x14ac:dyDescent="0.3">
      <c r="A218" t="s">
        <v>923</v>
      </c>
      <c r="B218" s="1">
        <v>46182.512789351851</v>
      </c>
      <c r="C218" t="s">
        <v>1</v>
      </c>
      <c r="D218" t="s">
        <v>54</v>
      </c>
      <c r="E218" t="s">
        <v>877</v>
      </c>
      <c r="F218" t="s">
        <v>2214</v>
      </c>
      <c r="G218" t="s">
        <v>20</v>
      </c>
      <c r="H218" t="s">
        <v>828</v>
      </c>
      <c r="I218" t="s">
        <v>874</v>
      </c>
      <c r="J218" t="s">
        <v>875</v>
      </c>
      <c r="K218" t="s">
        <v>906</v>
      </c>
      <c r="L218">
        <v>102</v>
      </c>
      <c r="M218">
        <v>3943</v>
      </c>
      <c r="N218">
        <v>26000</v>
      </c>
      <c r="O218">
        <v>31.986944000000001</v>
      </c>
      <c r="P218">
        <v>35.981417</v>
      </c>
      <c r="Q218" t="s">
        <v>102</v>
      </c>
      <c r="S218" t="s">
        <v>1776</v>
      </c>
      <c r="U218" t="s">
        <v>2199</v>
      </c>
      <c r="V218" t="s">
        <v>41</v>
      </c>
      <c r="W218" t="s">
        <v>924</v>
      </c>
      <c r="Y218" t="str">
        <f>IF(NOT("" = ""), HYPERLINK("", "فيديو"), "")</f>
        <v/>
      </c>
      <c r="Z218" t="str">
        <f>IF(NOT("" = ""), HYPERLINK("", "جولة"), "")</f>
        <v/>
      </c>
      <c r="AA218" t="str">
        <f>IF(NOT("https://maps.app.goo.gl/CVUY1QsTKfAiCceLA" = ""), HYPERLINK("https://maps.app.goo.gl/CVUY1QsTKfAiCceLA", "موقع"), "")</f>
        <v>موقع</v>
      </c>
    </row>
    <row r="219" spans="1:27" x14ac:dyDescent="0.3">
      <c r="A219" t="s">
        <v>925</v>
      </c>
      <c r="B219" s="1">
        <v>46182.512789351851</v>
      </c>
      <c r="C219" t="s">
        <v>1</v>
      </c>
      <c r="D219" t="s">
        <v>54</v>
      </c>
      <c r="E219" t="s">
        <v>877</v>
      </c>
      <c r="F219" t="s">
        <v>2215</v>
      </c>
      <c r="G219" t="s">
        <v>20</v>
      </c>
      <c r="H219" t="s">
        <v>828</v>
      </c>
      <c r="I219" t="s">
        <v>874</v>
      </c>
      <c r="J219" t="s">
        <v>875</v>
      </c>
      <c r="K219" t="s">
        <v>906</v>
      </c>
      <c r="L219">
        <v>101</v>
      </c>
      <c r="M219">
        <v>3943</v>
      </c>
      <c r="N219">
        <v>26000</v>
      </c>
      <c r="O219">
        <v>31.986944000000001</v>
      </c>
      <c r="P219">
        <v>35.981417</v>
      </c>
      <c r="Q219" t="s">
        <v>102</v>
      </c>
      <c r="S219" t="s">
        <v>1776</v>
      </c>
      <c r="U219" t="s">
        <v>2199</v>
      </c>
      <c r="V219" t="s">
        <v>41</v>
      </c>
      <c r="W219" t="s">
        <v>924</v>
      </c>
      <c r="Y219" t="str">
        <f>IF(NOT("" = ""), HYPERLINK("", "فيديو"), "")</f>
        <v/>
      </c>
      <c r="Z219" t="str">
        <f>IF(NOT("" = ""), HYPERLINK("", "جولة"), "")</f>
        <v/>
      </c>
      <c r="AA219" t="str">
        <f>IF(NOT("https://maps.app.goo.gl/CVUY1QsTKfAiCceLA" = ""), HYPERLINK("https://maps.app.goo.gl/CVUY1QsTKfAiCceLA", "موقع"), "")</f>
        <v>موقع</v>
      </c>
    </row>
    <row r="220" spans="1:27" x14ac:dyDescent="0.3">
      <c r="A220" t="s">
        <v>926</v>
      </c>
      <c r="B220" s="1">
        <v>46182.512789351851</v>
      </c>
      <c r="C220" t="s">
        <v>1</v>
      </c>
      <c r="D220" t="s">
        <v>54</v>
      </c>
      <c r="E220" t="s">
        <v>895</v>
      </c>
      <c r="F220" t="s">
        <v>2216</v>
      </c>
      <c r="G220" t="s">
        <v>20</v>
      </c>
      <c r="H220" t="s">
        <v>828</v>
      </c>
      <c r="I220" t="s">
        <v>860</v>
      </c>
      <c r="J220" t="s">
        <v>893</v>
      </c>
      <c r="K220" t="s">
        <v>894</v>
      </c>
      <c r="L220">
        <v>131</v>
      </c>
      <c r="M220">
        <v>219</v>
      </c>
      <c r="N220">
        <v>26000</v>
      </c>
      <c r="O220">
        <v>31.921861</v>
      </c>
      <c r="P220">
        <v>36.007277999999999</v>
      </c>
      <c r="Q220" t="s">
        <v>927</v>
      </c>
      <c r="R220" t="s">
        <v>2217</v>
      </c>
      <c r="S220" t="s">
        <v>1828</v>
      </c>
      <c r="U220" t="s">
        <v>2218</v>
      </c>
      <c r="V220" t="s">
        <v>50</v>
      </c>
      <c r="W220" t="s">
        <v>928</v>
      </c>
      <c r="Y220" t="str">
        <f>IF(NOT("" = ""), HYPERLINK("", "فيديو"), "")</f>
        <v/>
      </c>
      <c r="Z220" t="str">
        <f>IF(NOT("https://truemarkets3d.net/3d-virtual-tour/housingbank-realestate/phase3/aq-re-100118/index.html" = ""), HYPERLINK("https://truemarkets3d.net/3d-virtual-tour/housingbank-realestate/phase3/aq-re-100118/index.html", "جولة"), "")</f>
        <v>جولة</v>
      </c>
      <c r="AA220" t="str">
        <f>IF(NOT("https://maps.app.goo.gl/kbtz4cZjB6puina27" = ""), HYPERLINK("https://maps.app.goo.gl/kbtz4cZjB6puina27", "موقع"), "")</f>
        <v>موقع</v>
      </c>
    </row>
    <row r="221" spans="1:27" x14ac:dyDescent="0.3">
      <c r="A221" t="s">
        <v>929</v>
      </c>
      <c r="B221" s="1">
        <v>46182.512789351851</v>
      </c>
      <c r="C221" t="s">
        <v>1</v>
      </c>
      <c r="D221" t="s">
        <v>54</v>
      </c>
      <c r="E221" t="s">
        <v>895</v>
      </c>
      <c r="F221" t="s">
        <v>2219</v>
      </c>
      <c r="G221" t="s">
        <v>20</v>
      </c>
      <c r="H221" t="s">
        <v>828</v>
      </c>
      <c r="I221" t="s">
        <v>860</v>
      </c>
      <c r="J221" t="s">
        <v>893</v>
      </c>
      <c r="K221" t="s">
        <v>894</v>
      </c>
      <c r="L221">
        <v>133</v>
      </c>
      <c r="M221">
        <v>219</v>
      </c>
      <c r="N221">
        <v>26000</v>
      </c>
      <c r="O221">
        <v>31.921861</v>
      </c>
      <c r="P221">
        <v>36.007277999999999</v>
      </c>
      <c r="Q221" t="s">
        <v>930</v>
      </c>
      <c r="S221" t="s">
        <v>1776</v>
      </c>
      <c r="U221" t="s">
        <v>2220</v>
      </c>
      <c r="V221" t="s">
        <v>50</v>
      </c>
      <c r="W221" t="s">
        <v>931</v>
      </c>
      <c r="Y221" t="str">
        <f>IF(NOT("" = ""), HYPERLINK("", "فيديو"), "")</f>
        <v/>
      </c>
      <c r="Z221" t="str">
        <f>IF(NOT("" = ""), HYPERLINK("", "جولة"), "")</f>
        <v/>
      </c>
      <c r="AA221" t="str">
        <f>IF(NOT("https://maps.app.goo.gl/4XnYQpA3F8XtgmkL6" = ""), HYPERLINK("https://maps.app.goo.gl/4XnYQpA3F8XtgmkL6", "موقع"), "")</f>
        <v>موقع</v>
      </c>
    </row>
    <row r="222" spans="1:27" x14ac:dyDescent="0.3">
      <c r="A222" t="s">
        <v>932</v>
      </c>
      <c r="B222" s="1">
        <v>46182.512789351851</v>
      </c>
      <c r="C222" t="s">
        <v>1</v>
      </c>
      <c r="D222" t="s">
        <v>54</v>
      </c>
      <c r="E222" t="s">
        <v>870</v>
      </c>
      <c r="F222" t="s">
        <v>2221</v>
      </c>
      <c r="G222" t="s">
        <v>20</v>
      </c>
      <c r="H222" t="s">
        <v>828</v>
      </c>
      <c r="I222" t="s">
        <v>860</v>
      </c>
      <c r="J222" t="s">
        <v>861</v>
      </c>
      <c r="K222" t="s">
        <v>862</v>
      </c>
      <c r="L222">
        <v>111</v>
      </c>
      <c r="M222">
        <v>1532</v>
      </c>
      <c r="N222">
        <v>26000</v>
      </c>
      <c r="Q222" t="s">
        <v>864</v>
      </c>
      <c r="S222" t="s">
        <v>1776</v>
      </c>
      <c r="V222" t="s">
        <v>32</v>
      </c>
      <c r="W222" t="s">
        <v>933</v>
      </c>
      <c r="Y222" t="str">
        <f>IF(NOT("" = ""), HYPERLINK("", "فيديو"), "")</f>
        <v/>
      </c>
      <c r="Z222" t="str">
        <f>IF(NOT("" = ""), HYPERLINK("", "جولة"), "")</f>
        <v/>
      </c>
      <c r="AA222" t="str">
        <f>IF(NOT("" = ""), HYPERLINK("", "موقع"), "")</f>
        <v/>
      </c>
    </row>
    <row r="223" spans="1:27" x14ac:dyDescent="0.3">
      <c r="A223" t="s">
        <v>934</v>
      </c>
      <c r="B223" s="1">
        <v>46182.512789351851</v>
      </c>
      <c r="C223" t="s">
        <v>1</v>
      </c>
      <c r="D223" t="s">
        <v>54</v>
      </c>
      <c r="E223" t="s">
        <v>895</v>
      </c>
      <c r="F223" t="s">
        <v>2222</v>
      </c>
      <c r="G223" t="s">
        <v>20</v>
      </c>
      <c r="H223" t="s">
        <v>828</v>
      </c>
      <c r="I223" t="s">
        <v>860</v>
      </c>
      <c r="J223" t="s">
        <v>893</v>
      </c>
      <c r="K223" t="s">
        <v>935</v>
      </c>
      <c r="L223">
        <v>124</v>
      </c>
      <c r="M223">
        <v>100</v>
      </c>
      <c r="N223">
        <v>27000</v>
      </c>
      <c r="O223">
        <v>31.909139</v>
      </c>
      <c r="P223">
        <v>35.961388999999997</v>
      </c>
      <c r="Q223" t="s">
        <v>936</v>
      </c>
      <c r="R223" t="s">
        <v>2223</v>
      </c>
      <c r="S223" t="s">
        <v>1828</v>
      </c>
      <c r="U223" t="s">
        <v>2224</v>
      </c>
      <c r="V223" t="s">
        <v>75</v>
      </c>
      <c r="W223" t="s">
        <v>937</v>
      </c>
      <c r="X223" t="s">
        <v>2225</v>
      </c>
      <c r="Y223" t="str">
        <f>IF(NOT("https://youtu.be/tmGy33dVEJs" = ""), HYPERLINK("https://youtu.be/tmGy33dVEJs", "فيديو"), "")</f>
        <v>فيديو</v>
      </c>
      <c r="Z223" t="str">
        <f>IF(NOT("https://truemarkets3d.net/3d-virtual-tour/housingbank-realestate/phase3/aq-re-100480/index.html" = ""), HYPERLINK("https://truemarkets3d.net/3d-virtual-tour/housingbank-realestate/phase3/aq-re-100480/index.html", "جولة"), "")</f>
        <v>جولة</v>
      </c>
      <c r="AA223" t="str">
        <f>IF(NOT("https://maps.app.goo.gl/Y9TmiZM2eCzjn8H49" = ""), HYPERLINK("https://maps.app.goo.gl/Y9TmiZM2eCzjn8H49", "موقع"), "")</f>
        <v>موقع</v>
      </c>
    </row>
    <row r="224" spans="1:27" x14ac:dyDescent="0.3">
      <c r="A224" t="s">
        <v>938</v>
      </c>
      <c r="B224" s="1">
        <v>46182.512789351851</v>
      </c>
      <c r="C224" t="s">
        <v>1</v>
      </c>
      <c r="D224" t="s">
        <v>54</v>
      </c>
      <c r="E224" t="s">
        <v>940</v>
      </c>
      <c r="F224" t="s">
        <v>2226</v>
      </c>
      <c r="G224" t="s">
        <v>20</v>
      </c>
      <c r="H224" t="s">
        <v>828</v>
      </c>
      <c r="I224" t="s">
        <v>829</v>
      </c>
      <c r="J224" t="s">
        <v>830</v>
      </c>
      <c r="K224" t="s">
        <v>939</v>
      </c>
      <c r="L224">
        <v>101</v>
      </c>
      <c r="M224">
        <v>1356</v>
      </c>
      <c r="N224">
        <v>29000</v>
      </c>
      <c r="O224">
        <v>31.937999999999999</v>
      </c>
      <c r="P224">
        <v>35.908999999999999</v>
      </c>
      <c r="Q224" t="s">
        <v>941</v>
      </c>
      <c r="R224" t="s">
        <v>2227</v>
      </c>
      <c r="S224" t="s">
        <v>1828</v>
      </c>
      <c r="U224" t="s">
        <v>2228</v>
      </c>
      <c r="V224" t="s">
        <v>41</v>
      </c>
      <c r="W224" t="s">
        <v>942</v>
      </c>
      <c r="Y224" t="str">
        <f t="shared" ref="Y224:Y249" si="17">IF(NOT("" = ""), HYPERLINK("", "فيديو"), "")</f>
        <v/>
      </c>
      <c r="Z224" t="str">
        <f>IF(NOT("https://truemarkets3d.net/3d-virtual-tour/housingbank-realestate/phase3/aq-re-100512/index.html" = ""), HYPERLINK("https://truemarkets3d.net/3d-virtual-tour/housingbank-realestate/phase3/aq-re-100512/index.html", "جولة"), "")</f>
        <v>جولة</v>
      </c>
      <c r="AA224" t="str">
        <f>IF(NOT("https://maps.app.goo.gl/q8jxZJE12xrqNLrV8" = ""), HYPERLINK("https://maps.app.goo.gl/q8jxZJE12xrqNLrV8", "موقع"), "")</f>
        <v>موقع</v>
      </c>
    </row>
    <row r="225" spans="1:27" x14ac:dyDescent="0.3">
      <c r="A225" t="s">
        <v>943</v>
      </c>
      <c r="B225" s="1">
        <v>46182.512789351851</v>
      </c>
      <c r="C225" t="s">
        <v>1</v>
      </c>
      <c r="D225" t="s">
        <v>54</v>
      </c>
      <c r="E225" t="s">
        <v>883</v>
      </c>
      <c r="F225" t="s">
        <v>2229</v>
      </c>
      <c r="G225" t="s">
        <v>20</v>
      </c>
      <c r="H225" t="s">
        <v>828</v>
      </c>
      <c r="I225" t="s">
        <v>880</v>
      </c>
      <c r="J225" t="s">
        <v>944</v>
      </c>
      <c r="K225" t="s">
        <v>945</v>
      </c>
      <c r="L225">
        <v>101</v>
      </c>
      <c r="M225">
        <v>673</v>
      </c>
      <c r="N225">
        <v>29000</v>
      </c>
      <c r="O225">
        <v>31.810027999999999</v>
      </c>
      <c r="P225">
        <v>36.112222000000003</v>
      </c>
      <c r="Q225" t="s">
        <v>946</v>
      </c>
      <c r="S225" t="s">
        <v>1776</v>
      </c>
      <c r="U225" t="s">
        <v>2230</v>
      </c>
      <c r="V225" t="s">
        <v>41</v>
      </c>
      <c r="W225" t="s">
        <v>947</v>
      </c>
      <c r="Y225" t="str">
        <f t="shared" si="17"/>
        <v/>
      </c>
      <c r="Z225" t="str">
        <f>IF(NOT("" = ""), HYPERLINK("", "جولة"), "")</f>
        <v/>
      </c>
      <c r="AA225" t="str">
        <f>IF(NOT("https://maps.app.goo.gl/9HgMwvdaYCYtsHaMA" = ""), HYPERLINK("https://maps.app.goo.gl/9HgMwvdaYCYtsHaMA", "موقع"), "")</f>
        <v>موقع</v>
      </c>
    </row>
    <row r="226" spans="1:27" x14ac:dyDescent="0.3">
      <c r="A226" t="s">
        <v>948</v>
      </c>
      <c r="B226" s="1">
        <v>46182.512789351851</v>
      </c>
      <c r="C226" t="s">
        <v>1</v>
      </c>
      <c r="D226" t="s">
        <v>54</v>
      </c>
      <c r="E226" t="s">
        <v>950</v>
      </c>
      <c r="F226" t="s">
        <v>2215</v>
      </c>
      <c r="G226" t="s">
        <v>20</v>
      </c>
      <c r="H226" t="s">
        <v>828</v>
      </c>
      <c r="I226" t="s">
        <v>829</v>
      </c>
      <c r="J226" t="s">
        <v>830</v>
      </c>
      <c r="K226" t="s">
        <v>949</v>
      </c>
      <c r="L226">
        <v>102</v>
      </c>
      <c r="M226">
        <v>1052</v>
      </c>
      <c r="N226">
        <v>29000</v>
      </c>
      <c r="Q226" t="s">
        <v>951</v>
      </c>
      <c r="S226" t="s">
        <v>1776</v>
      </c>
      <c r="V226" t="s">
        <v>41</v>
      </c>
      <c r="W226" t="s">
        <v>952</v>
      </c>
      <c r="Y226" t="str">
        <f t="shared" si="17"/>
        <v/>
      </c>
      <c r="Z226" t="str">
        <f>IF(NOT("" = ""), HYPERLINK("", "جولة"), "")</f>
        <v/>
      </c>
      <c r="AA226" t="str">
        <f>IF(NOT("" = ""), HYPERLINK("", "موقع"), "")</f>
        <v/>
      </c>
    </row>
    <row r="227" spans="1:27" x14ac:dyDescent="0.3">
      <c r="A227" t="s">
        <v>953</v>
      </c>
      <c r="B227" s="1">
        <v>46182.512789351851</v>
      </c>
      <c r="C227" t="s">
        <v>1</v>
      </c>
      <c r="D227" t="s">
        <v>54</v>
      </c>
      <c r="E227" t="s">
        <v>877</v>
      </c>
      <c r="F227" t="s">
        <v>2231</v>
      </c>
      <c r="G227" t="s">
        <v>20</v>
      </c>
      <c r="H227" t="s">
        <v>828</v>
      </c>
      <c r="I227" t="s">
        <v>874</v>
      </c>
      <c r="J227" t="s">
        <v>875</v>
      </c>
      <c r="K227" t="s">
        <v>954</v>
      </c>
      <c r="L227">
        <v>131</v>
      </c>
      <c r="M227">
        <v>3272</v>
      </c>
      <c r="N227">
        <v>30000</v>
      </c>
      <c r="Q227" t="s">
        <v>955</v>
      </c>
      <c r="S227" t="s">
        <v>1776</v>
      </c>
      <c r="V227" t="s">
        <v>50</v>
      </c>
      <c r="W227" t="s">
        <v>956</v>
      </c>
      <c r="Y227" t="str">
        <f t="shared" si="17"/>
        <v/>
      </c>
      <c r="Z227" t="str">
        <f>IF(NOT("" = ""), HYPERLINK("", "جولة"), "")</f>
        <v/>
      </c>
      <c r="AA227" t="str">
        <f>IF(NOT("" = ""), HYPERLINK("", "موقع"), "")</f>
        <v/>
      </c>
    </row>
    <row r="228" spans="1:27" x14ac:dyDescent="0.3">
      <c r="A228" t="s">
        <v>957</v>
      </c>
      <c r="B228" s="1">
        <v>46182.512789351851</v>
      </c>
      <c r="C228" t="s">
        <v>1</v>
      </c>
      <c r="D228" t="s">
        <v>54</v>
      </c>
      <c r="E228" t="s">
        <v>877</v>
      </c>
      <c r="F228" t="s">
        <v>2232</v>
      </c>
      <c r="G228" t="s">
        <v>20</v>
      </c>
      <c r="H228" t="s">
        <v>828</v>
      </c>
      <c r="I228" t="s">
        <v>874</v>
      </c>
      <c r="J228" t="s">
        <v>875</v>
      </c>
      <c r="K228" t="s">
        <v>954</v>
      </c>
      <c r="L228">
        <v>132</v>
      </c>
      <c r="M228">
        <v>3272</v>
      </c>
      <c r="N228">
        <v>30000</v>
      </c>
      <c r="O228">
        <v>31.956028</v>
      </c>
      <c r="P228">
        <v>35.976083000000003</v>
      </c>
      <c r="Q228" t="s">
        <v>955</v>
      </c>
      <c r="S228" t="s">
        <v>1776</v>
      </c>
      <c r="U228" t="s">
        <v>2233</v>
      </c>
      <c r="V228" t="s">
        <v>50</v>
      </c>
      <c r="W228" t="s">
        <v>956</v>
      </c>
      <c r="Y228" t="str">
        <f t="shared" si="17"/>
        <v/>
      </c>
      <c r="Z228" t="str">
        <f>IF(NOT("" = ""), HYPERLINK("", "جولة"), "")</f>
        <v/>
      </c>
      <c r="AA228" t="str">
        <f>IF(NOT("https://maps.app.goo.gl/KVbpBtAUNLD4fGf17" = ""), HYPERLINK("https://maps.app.goo.gl/KVbpBtAUNLD4fGf17", "موقع"), "")</f>
        <v>موقع</v>
      </c>
    </row>
    <row r="229" spans="1:27" x14ac:dyDescent="0.3">
      <c r="A229" t="s">
        <v>958</v>
      </c>
      <c r="B229" s="1">
        <v>46182.512789351851</v>
      </c>
      <c r="C229" t="s">
        <v>1</v>
      </c>
      <c r="D229" t="s">
        <v>54</v>
      </c>
      <c r="E229" t="s">
        <v>870</v>
      </c>
      <c r="F229" t="s">
        <v>2034</v>
      </c>
      <c r="G229" t="s">
        <v>20</v>
      </c>
      <c r="H229" t="s">
        <v>828</v>
      </c>
      <c r="I229" t="s">
        <v>860</v>
      </c>
      <c r="J229" t="s">
        <v>861</v>
      </c>
      <c r="K229" t="s">
        <v>959</v>
      </c>
      <c r="L229">
        <v>123</v>
      </c>
      <c r="M229">
        <v>6217</v>
      </c>
      <c r="N229">
        <v>30000</v>
      </c>
      <c r="O229">
        <v>31.951639</v>
      </c>
      <c r="P229">
        <v>35.971944000000001</v>
      </c>
      <c r="Q229" t="s">
        <v>960</v>
      </c>
      <c r="R229" t="s">
        <v>2234</v>
      </c>
      <c r="S229" t="s">
        <v>1828</v>
      </c>
      <c r="U229" t="s">
        <v>2235</v>
      </c>
      <c r="V229" t="s">
        <v>75</v>
      </c>
      <c r="W229" t="s">
        <v>961</v>
      </c>
      <c r="Y229" t="str">
        <f t="shared" si="17"/>
        <v/>
      </c>
      <c r="Z229" t="str">
        <f>IF(NOT("https://truemarkets3d.net/3d-virtual-tour/housingbank-realestate/phase3/aq-re-100860/index.html" = ""), HYPERLINK("https://truemarkets3d.net/3d-virtual-tour/housingbank-realestate/phase3/aq-re-100860/index.html", "جولة"), "")</f>
        <v>جولة</v>
      </c>
      <c r="AA229" t="str">
        <f>IF(NOT("https://maps.app.goo.gl/iXC6GxQpcnzo8KVt8" = ""), HYPERLINK("https://maps.app.goo.gl/iXC6GxQpcnzo8KVt8", "موقع"), "")</f>
        <v>موقع</v>
      </c>
    </row>
    <row r="230" spans="1:27" x14ac:dyDescent="0.3">
      <c r="A230" t="s">
        <v>962</v>
      </c>
      <c r="B230" s="1">
        <v>46182.512789351851</v>
      </c>
      <c r="C230" t="s">
        <v>1</v>
      </c>
      <c r="D230" t="s">
        <v>54</v>
      </c>
      <c r="E230" t="s">
        <v>877</v>
      </c>
      <c r="F230" t="s">
        <v>2236</v>
      </c>
      <c r="G230" t="s">
        <v>20</v>
      </c>
      <c r="H230" t="s">
        <v>828</v>
      </c>
      <c r="I230" t="s">
        <v>874</v>
      </c>
      <c r="J230" t="s">
        <v>875</v>
      </c>
      <c r="K230" t="s">
        <v>954</v>
      </c>
      <c r="L230">
        <v>122</v>
      </c>
      <c r="M230">
        <v>3272</v>
      </c>
      <c r="N230">
        <v>31000</v>
      </c>
      <c r="O230">
        <v>31.956028</v>
      </c>
      <c r="P230">
        <v>35.976083000000003</v>
      </c>
      <c r="Q230" t="s">
        <v>955</v>
      </c>
      <c r="S230" t="s">
        <v>1776</v>
      </c>
      <c r="U230" t="s">
        <v>2233</v>
      </c>
      <c r="V230" t="s">
        <v>75</v>
      </c>
      <c r="W230" t="s">
        <v>963</v>
      </c>
      <c r="Y230" t="str">
        <f t="shared" si="17"/>
        <v/>
      </c>
      <c r="Z230" t="str">
        <f t="shared" ref="Z230:Z235" si="18">IF(NOT("" = ""), HYPERLINK("", "جولة"), "")</f>
        <v/>
      </c>
      <c r="AA230" t="str">
        <f>IF(NOT("https://maps.app.goo.gl/KVbpBtAUNLD4fGf17" = ""), HYPERLINK("https://maps.app.goo.gl/KVbpBtAUNLD4fGf17", "موقع"), "")</f>
        <v>موقع</v>
      </c>
    </row>
    <row r="231" spans="1:27" x14ac:dyDescent="0.3">
      <c r="A231" t="s">
        <v>964</v>
      </c>
      <c r="B231" s="1">
        <v>46182.512789351851</v>
      </c>
      <c r="C231" t="s">
        <v>1</v>
      </c>
      <c r="D231" t="s">
        <v>54</v>
      </c>
      <c r="E231" t="s">
        <v>877</v>
      </c>
      <c r="F231" t="s">
        <v>2237</v>
      </c>
      <c r="G231" t="s">
        <v>20</v>
      </c>
      <c r="H231" t="s">
        <v>828</v>
      </c>
      <c r="I231" t="s">
        <v>874</v>
      </c>
      <c r="J231" t="s">
        <v>875</v>
      </c>
      <c r="K231" t="s">
        <v>954</v>
      </c>
      <c r="L231">
        <v>121</v>
      </c>
      <c r="M231">
        <v>3272</v>
      </c>
      <c r="N231">
        <v>31000</v>
      </c>
      <c r="Q231" t="s">
        <v>955</v>
      </c>
      <c r="S231" t="s">
        <v>1776</v>
      </c>
      <c r="V231" t="s">
        <v>75</v>
      </c>
      <c r="W231" t="s">
        <v>963</v>
      </c>
      <c r="Y231" t="str">
        <f t="shared" si="17"/>
        <v/>
      </c>
      <c r="Z231" t="str">
        <f t="shared" si="18"/>
        <v/>
      </c>
      <c r="AA231" t="str">
        <f>IF(NOT("" = ""), HYPERLINK("", "موقع"), "")</f>
        <v/>
      </c>
    </row>
    <row r="232" spans="1:27" x14ac:dyDescent="0.3">
      <c r="A232" t="s">
        <v>965</v>
      </c>
      <c r="B232" s="1">
        <v>46182.512789351851</v>
      </c>
      <c r="C232" t="s">
        <v>1</v>
      </c>
      <c r="D232" t="s">
        <v>54</v>
      </c>
      <c r="E232" t="s">
        <v>877</v>
      </c>
      <c r="F232" t="s">
        <v>2238</v>
      </c>
      <c r="G232" t="s">
        <v>20</v>
      </c>
      <c r="H232" t="s">
        <v>828</v>
      </c>
      <c r="I232" t="s">
        <v>874</v>
      </c>
      <c r="J232" t="s">
        <v>875</v>
      </c>
      <c r="K232" t="s">
        <v>954</v>
      </c>
      <c r="L232">
        <v>111</v>
      </c>
      <c r="M232">
        <v>3272</v>
      </c>
      <c r="N232">
        <v>32000</v>
      </c>
      <c r="O232">
        <v>31.956028</v>
      </c>
      <c r="P232">
        <v>35.976083000000003</v>
      </c>
      <c r="Q232" t="s">
        <v>955</v>
      </c>
      <c r="S232" t="s">
        <v>1776</v>
      </c>
      <c r="U232" t="s">
        <v>2233</v>
      </c>
      <c r="V232" t="s">
        <v>32</v>
      </c>
      <c r="W232" t="s">
        <v>966</v>
      </c>
      <c r="Y232" t="str">
        <f t="shared" si="17"/>
        <v/>
      </c>
      <c r="Z232" t="str">
        <f t="shared" si="18"/>
        <v/>
      </c>
      <c r="AA232" t="str">
        <f>IF(NOT("https://maps.app.goo.gl/KVbpBtAUNLD4fGf17" = ""), HYPERLINK("https://maps.app.goo.gl/KVbpBtAUNLD4fGf17", "موقع"), "")</f>
        <v>موقع</v>
      </c>
    </row>
    <row r="233" spans="1:27" x14ac:dyDescent="0.3">
      <c r="A233" t="s">
        <v>967</v>
      </c>
      <c r="B233" s="1">
        <v>46182.512789351851</v>
      </c>
      <c r="C233" t="s">
        <v>1</v>
      </c>
      <c r="D233" t="s">
        <v>54</v>
      </c>
      <c r="E233" t="s">
        <v>889</v>
      </c>
      <c r="F233" t="s">
        <v>2239</v>
      </c>
      <c r="G233" t="s">
        <v>20</v>
      </c>
      <c r="H233" t="s">
        <v>828</v>
      </c>
      <c r="I233" t="s">
        <v>874</v>
      </c>
      <c r="J233" t="s">
        <v>887</v>
      </c>
      <c r="K233" t="s">
        <v>888</v>
      </c>
      <c r="L233">
        <v>122</v>
      </c>
      <c r="M233">
        <v>3969</v>
      </c>
      <c r="N233">
        <v>32000</v>
      </c>
      <c r="O233">
        <v>31.973167</v>
      </c>
      <c r="P233">
        <v>35.956249999999997</v>
      </c>
      <c r="Q233" t="s">
        <v>955</v>
      </c>
      <c r="S233" t="s">
        <v>1776</v>
      </c>
      <c r="U233" t="s">
        <v>2240</v>
      </c>
      <c r="V233" t="s">
        <v>75</v>
      </c>
      <c r="W233" t="s">
        <v>968</v>
      </c>
      <c r="Y233" t="str">
        <f t="shared" si="17"/>
        <v/>
      </c>
      <c r="Z233" t="str">
        <f t="shared" si="18"/>
        <v/>
      </c>
      <c r="AA233" t="str">
        <f>IF(NOT("https://maps.app.goo.gl/vori1xhEio1x7ks39" = ""), HYPERLINK("https://maps.app.goo.gl/vori1xhEio1x7ks39", "موقع"), "")</f>
        <v>موقع</v>
      </c>
    </row>
    <row r="234" spans="1:27" x14ac:dyDescent="0.3">
      <c r="A234" t="s">
        <v>969</v>
      </c>
      <c r="B234" s="1">
        <v>46182.512789351851</v>
      </c>
      <c r="C234" t="s">
        <v>1</v>
      </c>
      <c r="D234" t="s">
        <v>54</v>
      </c>
      <c r="E234" t="s">
        <v>877</v>
      </c>
      <c r="F234" t="s">
        <v>2241</v>
      </c>
      <c r="G234" t="s">
        <v>20</v>
      </c>
      <c r="H234" t="s">
        <v>828</v>
      </c>
      <c r="I234" t="s">
        <v>874</v>
      </c>
      <c r="J234" t="s">
        <v>875</v>
      </c>
      <c r="K234" t="s">
        <v>954</v>
      </c>
      <c r="L234">
        <v>112</v>
      </c>
      <c r="M234">
        <v>3272</v>
      </c>
      <c r="N234">
        <v>32000</v>
      </c>
      <c r="O234">
        <v>31.956028</v>
      </c>
      <c r="P234">
        <v>35.976083000000003</v>
      </c>
      <c r="Q234" t="s">
        <v>955</v>
      </c>
      <c r="S234" t="s">
        <v>1776</v>
      </c>
      <c r="U234" t="s">
        <v>2242</v>
      </c>
      <c r="V234" t="s">
        <v>32</v>
      </c>
      <c r="W234" t="s">
        <v>966</v>
      </c>
      <c r="Y234" t="str">
        <f t="shared" si="17"/>
        <v/>
      </c>
      <c r="Z234" t="str">
        <f t="shared" si="18"/>
        <v/>
      </c>
      <c r="AA234" t="str">
        <f>IF(NOT("https://maps.app.goo.gl/aJVnusEN6pMP5L547" = ""), HYPERLINK("https://maps.app.goo.gl/aJVnusEN6pMP5L547", "موقع"), "")</f>
        <v>موقع</v>
      </c>
    </row>
    <row r="235" spans="1:27" x14ac:dyDescent="0.3">
      <c r="A235" t="s">
        <v>970</v>
      </c>
      <c r="B235" s="1">
        <v>46182.512789351851</v>
      </c>
      <c r="C235" t="s">
        <v>1</v>
      </c>
      <c r="D235" t="s">
        <v>54</v>
      </c>
      <c r="E235" t="s">
        <v>889</v>
      </c>
      <c r="F235" t="s">
        <v>2243</v>
      </c>
      <c r="G235" t="s">
        <v>20</v>
      </c>
      <c r="H235" t="s">
        <v>828</v>
      </c>
      <c r="I235" t="s">
        <v>874</v>
      </c>
      <c r="J235" t="s">
        <v>887</v>
      </c>
      <c r="K235" t="s">
        <v>888</v>
      </c>
      <c r="L235">
        <v>-102</v>
      </c>
      <c r="M235">
        <v>6594</v>
      </c>
      <c r="N235">
        <v>32000</v>
      </c>
      <c r="Q235" t="s">
        <v>971</v>
      </c>
      <c r="S235" t="s">
        <v>1776</v>
      </c>
      <c r="V235" t="s">
        <v>27</v>
      </c>
      <c r="W235" t="s">
        <v>972</v>
      </c>
      <c r="Y235" t="str">
        <f t="shared" si="17"/>
        <v/>
      </c>
      <c r="Z235" t="str">
        <f t="shared" si="18"/>
        <v/>
      </c>
      <c r="AA235" t="str">
        <f>IF(NOT("" = ""), HYPERLINK("", "موقع"), "")</f>
        <v/>
      </c>
    </row>
    <row r="236" spans="1:27" x14ac:dyDescent="0.3">
      <c r="A236" t="s">
        <v>973</v>
      </c>
      <c r="B236" s="1">
        <v>46182.512789351851</v>
      </c>
      <c r="C236" t="s">
        <v>1</v>
      </c>
      <c r="D236" t="s">
        <v>54</v>
      </c>
      <c r="E236" t="s">
        <v>977</v>
      </c>
      <c r="F236" t="s">
        <v>2244</v>
      </c>
      <c r="G236" t="s">
        <v>20</v>
      </c>
      <c r="H236" t="s">
        <v>828</v>
      </c>
      <c r="I236" t="s">
        <v>974</v>
      </c>
      <c r="J236" t="s">
        <v>975</v>
      </c>
      <c r="K236" t="s">
        <v>976</v>
      </c>
      <c r="L236">
        <v>131</v>
      </c>
      <c r="M236">
        <v>1605</v>
      </c>
      <c r="N236">
        <v>33000</v>
      </c>
      <c r="O236">
        <v>32.048110999999999</v>
      </c>
      <c r="P236">
        <v>35.831305999999998</v>
      </c>
      <c r="Q236" t="s">
        <v>978</v>
      </c>
      <c r="R236" t="s">
        <v>2245</v>
      </c>
      <c r="S236" t="s">
        <v>1828</v>
      </c>
      <c r="U236" t="s">
        <v>2246</v>
      </c>
      <c r="V236" t="s">
        <v>50</v>
      </c>
      <c r="W236" t="s">
        <v>979</v>
      </c>
      <c r="Y236" t="str">
        <f t="shared" si="17"/>
        <v/>
      </c>
      <c r="Z236" t="str">
        <f>IF(NOT("https://truemarkets3d.net/3d-virtual-tour/housingbank-realestate/phase3/aq-re-100174/index.html" = ""), HYPERLINK("https://truemarkets3d.net/3d-virtual-tour/housingbank-realestate/phase3/aq-re-100174/index.html", "جولة"), "")</f>
        <v>جولة</v>
      </c>
      <c r="AA236" t="str">
        <f>IF(NOT("https://maps.app.goo.gl/WaxN6ZWFE4AJ92L17" = ""), HYPERLINK("https://maps.app.goo.gl/WaxN6ZWFE4AJ92L17", "موقع"), "")</f>
        <v>موقع</v>
      </c>
    </row>
    <row r="237" spans="1:27" x14ac:dyDescent="0.3">
      <c r="A237" t="s">
        <v>980</v>
      </c>
      <c r="B237" s="1">
        <v>46182.512789351851</v>
      </c>
      <c r="C237" t="s">
        <v>1</v>
      </c>
      <c r="D237" t="s">
        <v>54</v>
      </c>
      <c r="E237" t="s">
        <v>877</v>
      </c>
      <c r="F237" t="s">
        <v>2247</v>
      </c>
      <c r="G237" t="s">
        <v>20</v>
      </c>
      <c r="H237" t="s">
        <v>828</v>
      </c>
      <c r="I237" t="s">
        <v>874</v>
      </c>
      <c r="J237" t="s">
        <v>875</v>
      </c>
      <c r="K237" t="s">
        <v>901</v>
      </c>
      <c r="L237">
        <v>-101</v>
      </c>
      <c r="M237">
        <v>1407</v>
      </c>
      <c r="N237">
        <v>33000</v>
      </c>
      <c r="O237">
        <v>31.952556000000001</v>
      </c>
      <c r="P237">
        <v>35.992333000000002</v>
      </c>
      <c r="Q237" t="s">
        <v>981</v>
      </c>
      <c r="R237" t="s">
        <v>2248</v>
      </c>
      <c r="S237" t="s">
        <v>1828</v>
      </c>
      <c r="U237" t="s">
        <v>2249</v>
      </c>
      <c r="V237" t="s">
        <v>41</v>
      </c>
      <c r="W237" t="s">
        <v>982</v>
      </c>
      <c r="Y237" t="str">
        <f t="shared" si="17"/>
        <v/>
      </c>
      <c r="Z237" t="str">
        <f>IF(NOT("https://truemarkets3d.net/3d-virtual-tour/housingbank-realestate/phase3/aq-re-100323/index.html" = ""), HYPERLINK("https://truemarkets3d.net/3d-virtual-tour/housingbank-realestate/phase3/aq-re-100323/index.html", "جولة"), "")</f>
        <v>جولة</v>
      </c>
      <c r="AA237" t="str">
        <f>IF(NOT("https://maps.app.goo.gl/AMmEKf5h3mgNwH1DA" = ""), HYPERLINK("https://maps.app.goo.gl/AMmEKf5h3mgNwH1DA", "موقع"), "")</f>
        <v>موقع</v>
      </c>
    </row>
    <row r="238" spans="1:27" x14ac:dyDescent="0.3">
      <c r="A238" t="s">
        <v>983</v>
      </c>
      <c r="B238" s="1">
        <v>46182.512789351851</v>
      </c>
      <c r="C238" t="s">
        <v>1</v>
      </c>
      <c r="D238" t="s">
        <v>54</v>
      </c>
      <c r="E238" t="s">
        <v>895</v>
      </c>
      <c r="F238" t="s">
        <v>1805</v>
      </c>
      <c r="G238" t="s">
        <v>20</v>
      </c>
      <c r="H238" t="s">
        <v>828</v>
      </c>
      <c r="I238" t="s">
        <v>860</v>
      </c>
      <c r="J238" t="s">
        <v>893</v>
      </c>
      <c r="K238" t="s">
        <v>984</v>
      </c>
      <c r="L238">
        <v>112</v>
      </c>
      <c r="M238">
        <v>166</v>
      </c>
      <c r="N238">
        <v>35000</v>
      </c>
      <c r="Q238" t="s">
        <v>985</v>
      </c>
      <c r="S238" t="s">
        <v>1776</v>
      </c>
      <c r="V238" t="s">
        <v>32</v>
      </c>
      <c r="W238" t="s">
        <v>986</v>
      </c>
      <c r="Y238" t="str">
        <f t="shared" si="17"/>
        <v/>
      </c>
      <c r="Z238" t="str">
        <f>IF(NOT("" = ""), HYPERLINK("", "جولة"), "")</f>
        <v/>
      </c>
      <c r="AA238" t="str">
        <f>IF(NOT("" = ""), HYPERLINK("", "موقع"), "")</f>
        <v/>
      </c>
    </row>
    <row r="239" spans="1:27" x14ac:dyDescent="0.3">
      <c r="A239" t="s">
        <v>987</v>
      </c>
      <c r="B239" s="1">
        <v>46182.512789351851</v>
      </c>
      <c r="C239" t="s">
        <v>1</v>
      </c>
      <c r="D239" t="s">
        <v>54</v>
      </c>
      <c r="E239" t="s">
        <v>990</v>
      </c>
      <c r="F239" t="s">
        <v>2250</v>
      </c>
      <c r="G239" t="s">
        <v>20</v>
      </c>
      <c r="H239" t="s">
        <v>828</v>
      </c>
      <c r="I239" t="s">
        <v>874</v>
      </c>
      <c r="J239" t="s">
        <v>988</v>
      </c>
      <c r="K239" t="s">
        <v>989</v>
      </c>
      <c r="L239">
        <v>-101</v>
      </c>
      <c r="M239">
        <v>1989</v>
      </c>
      <c r="N239">
        <v>36000</v>
      </c>
      <c r="O239">
        <v>32.003556000000003</v>
      </c>
      <c r="P239">
        <v>35.967610999999998</v>
      </c>
      <c r="Q239" t="s">
        <v>102</v>
      </c>
      <c r="R239" t="s">
        <v>2251</v>
      </c>
      <c r="S239" t="s">
        <v>1828</v>
      </c>
      <c r="U239" t="s">
        <v>2252</v>
      </c>
      <c r="V239" t="s">
        <v>27</v>
      </c>
      <c r="W239" t="s">
        <v>991</v>
      </c>
      <c r="Y239" t="str">
        <f t="shared" si="17"/>
        <v/>
      </c>
      <c r="Z239" t="str">
        <f>IF(NOT("https://truemarkets3d.net/3d-virtual-tour/housingbank-realestate/phase3/aq-re-100133/index.html" = ""), HYPERLINK("https://truemarkets3d.net/3d-virtual-tour/housingbank-realestate/phase3/aq-re-100133/index.html", "جولة"), "")</f>
        <v>جولة</v>
      </c>
      <c r="AA239" t="str">
        <f>IF(NOT("https://maps.app.goo.gl/MGV17BkDEptxmrii6" = ""), HYPERLINK("https://maps.app.goo.gl/MGV17BkDEptxmrii6", "موقع"), "")</f>
        <v>موقع</v>
      </c>
    </row>
    <row r="240" spans="1:27" x14ac:dyDescent="0.3">
      <c r="A240" t="s">
        <v>992</v>
      </c>
      <c r="B240" s="1">
        <v>46182.512789351851</v>
      </c>
      <c r="C240" t="s">
        <v>1</v>
      </c>
      <c r="D240" t="s">
        <v>54</v>
      </c>
      <c r="E240" t="s">
        <v>870</v>
      </c>
      <c r="F240" t="s">
        <v>1964</v>
      </c>
      <c r="G240" t="s">
        <v>20</v>
      </c>
      <c r="H240" t="s">
        <v>828</v>
      </c>
      <c r="I240" t="s">
        <v>860</v>
      </c>
      <c r="J240" t="s">
        <v>861</v>
      </c>
      <c r="K240" t="s">
        <v>959</v>
      </c>
      <c r="L240">
        <v>-111</v>
      </c>
      <c r="M240">
        <v>6268</v>
      </c>
      <c r="N240">
        <v>36000</v>
      </c>
      <c r="O240">
        <v>31.953610999999999</v>
      </c>
      <c r="P240">
        <v>35.972332999999999</v>
      </c>
      <c r="Q240" t="s">
        <v>993</v>
      </c>
      <c r="R240" t="s">
        <v>2253</v>
      </c>
      <c r="S240" t="s">
        <v>1828</v>
      </c>
      <c r="U240" t="s">
        <v>2254</v>
      </c>
      <c r="V240" t="s">
        <v>27</v>
      </c>
      <c r="W240" t="s">
        <v>994</v>
      </c>
      <c r="Y240" t="str">
        <f t="shared" si="17"/>
        <v/>
      </c>
      <c r="Z240" t="str">
        <f>IF(NOT("https://truemarkets3d.net/3d-virtual-tour/housingbank-realestate/phase3/aq-re-100484/index.html" = ""), HYPERLINK("https://truemarkets3d.net/3d-virtual-tour/housingbank-realestate/phase3/aq-re-100484/index.html", "جولة"), "")</f>
        <v>جولة</v>
      </c>
      <c r="AA240" t="str">
        <f>IF(NOT("https://maps.app.goo.gl/KDy3Gtuicwz5XZ1M9" = ""), HYPERLINK("https://maps.app.goo.gl/KDy3Gtuicwz5XZ1M9", "موقع"), "")</f>
        <v>موقع</v>
      </c>
    </row>
    <row r="241" spans="1:27" x14ac:dyDescent="0.3">
      <c r="A241" t="s">
        <v>995</v>
      </c>
      <c r="B241" s="1">
        <v>46182.512789351851</v>
      </c>
      <c r="C241" t="s">
        <v>1</v>
      </c>
      <c r="D241" t="s">
        <v>54</v>
      </c>
      <c r="E241" t="s">
        <v>997</v>
      </c>
      <c r="F241" t="s">
        <v>2255</v>
      </c>
      <c r="G241" t="s">
        <v>20</v>
      </c>
      <c r="H241" t="s">
        <v>828</v>
      </c>
      <c r="I241" t="s">
        <v>829</v>
      </c>
      <c r="J241" t="s">
        <v>830</v>
      </c>
      <c r="K241" t="s">
        <v>996</v>
      </c>
      <c r="L241">
        <v>132</v>
      </c>
      <c r="M241">
        <v>1597</v>
      </c>
      <c r="N241">
        <v>37000</v>
      </c>
      <c r="O241">
        <v>31.913499999999999</v>
      </c>
      <c r="P241">
        <v>35.890943999999998</v>
      </c>
      <c r="Q241" t="s">
        <v>126</v>
      </c>
      <c r="R241" t="s">
        <v>2256</v>
      </c>
      <c r="S241" t="s">
        <v>1828</v>
      </c>
      <c r="U241" t="s">
        <v>2257</v>
      </c>
      <c r="V241" t="s">
        <v>50</v>
      </c>
      <c r="W241" t="s">
        <v>998</v>
      </c>
      <c r="Y241" t="str">
        <f t="shared" si="17"/>
        <v/>
      </c>
      <c r="Z241" t="str">
        <f>IF(NOT("https://truemarkets3d.net/3d-virtual-tour/housingbank-realestate/phase3/aq-re-100384/index.html" = ""), HYPERLINK("https://truemarkets3d.net/3d-virtual-tour/housingbank-realestate/phase3/aq-re-100384/index.html", "جولة"), "")</f>
        <v>جولة</v>
      </c>
      <c r="AA241" t="str">
        <f>IF(NOT("https://maps.app.goo.gl/avzK77Gt6NLxUM4k8" = ""), HYPERLINK("https://maps.app.goo.gl/avzK77Gt6NLxUM4k8", "موقع"), "")</f>
        <v>موقع</v>
      </c>
    </row>
    <row r="242" spans="1:27" x14ac:dyDescent="0.3">
      <c r="A242" t="s">
        <v>999</v>
      </c>
      <c r="B242" s="1">
        <v>46182.512789351851</v>
      </c>
      <c r="C242" t="s">
        <v>1</v>
      </c>
      <c r="D242" t="s">
        <v>54</v>
      </c>
      <c r="E242" t="s">
        <v>870</v>
      </c>
      <c r="F242" t="s">
        <v>2258</v>
      </c>
      <c r="G242" t="s">
        <v>20</v>
      </c>
      <c r="H242" t="s">
        <v>828</v>
      </c>
      <c r="I242" t="s">
        <v>860</v>
      </c>
      <c r="J242" t="s">
        <v>861</v>
      </c>
      <c r="K242" t="s">
        <v>959</v>
      </c>
      <c r="L242">
        <v>241</v>
      </c>
      <c r="M242">
        <v>6329</v>
      </c>
      <c r="N242">
        <v>38000</v>
      </c>
      <c r="O242">
        <v>31.937306</v>
      </c>
      <c r="P242">
        <v>35.963417</v>
      </c>
      <c r="Q242" t="s">
        <v>1000</v>
      </c>
      <c r="R242" t="s">
        <v>2259</v>
      </c>
      <c r="S242" t="s">
        <v>1828</v>
      </c>
      <c r="U242" t="s">
        <v>2260</v>
      </c>
      <c r="V242" t="s">
        <v>202</v>
      </c>
      <c r="W242" t="s">
        <v>1001</v>
      </c>
      <c r="Y242" t="str">
        <f t="shared" si="17"/>
        <v/>
      </c>
      <c r="Z242" t="str">
        <f>IF(NOT("https://truemarkets3d.net/3d-virtual-tour/housingbank-realestate/phase3/aq-re-100345/index.html" = ""), HYPERLINK("https://truemarkets3d.net/3d-virtual-tour/housingbank-realestate/phase3/aq-re-100345/index.html", "جولة"), "")</f>
        <v>جولة</v>
      </c>
      <c r="AA242" t="str">
        <f>IF(NOT("https://maps.app.goo.gl/8cAVQW4dZDPtuPu36" = ""), HYPERLINK("https://maps.app.goo.gl/8cAVQW4dZDPtuPu36", "موقع"), "")</f>
        <v>موقع</v>
      </c>
    </row>
    <row r="243" spans="1:27" x14ac:dyDescent="0.3">
      <c r="A243" t="s">
        <v>1002</v>
      </c>
      <c r="B243" s="1">
        <v>46182.512789351851</v>
      </c>
      <c r="C243" t="s">
        <v>1</v>
      </c>
      <c r="D243" t="s">
        <v>54</v>
      </c>
      <c r="E243" t="s">
        <v>877</v>
      </c>
      <c r="F243" t="s">
        <v>2261</v>
      </c>
      <c r="G243" t="s">
        <v>20</v>
      </c>
      <c r="H243" t="s">
        <v>828</v>
      </c>
      <c r="I243" t="s">
        <v>874</v>
      </c>
      <c r="J243" t="s">
        <v>875</v>
      </c>
      <c r="K243" t="s">
        <v>954</v>
      </c>
      <c r="L243">
        <v>102</v>
      </c>
      <c r="M243">
        <v>3272</v>
      </c>
      <c r="N243">
        <v>38000</v>
      </c>
      <c r="O243">
        <v>31.956028</v>
      </c>
      <c r="P243">
        <v>35.976083000000003</v>
      </c>
      <c r="Q243" t="s">
        <v>955</v>
      </c>
      <c r="S243" t="s">
        <v>1776</v>
      </c>
      <c r="U243" t="s">
        <v>2233</v>
      </c>
      <c r="V243" t="s">
        <v>41</v>
      </c>
      <c r="W243" t="s">
        <v>1003</v>
      </c>
      <c r="Y243" t="str">
        <f t="shared" si="17"/>
        <v/>
      </c>
      <c r="Z243" t="str">
        <f>IF(NOT("" = ""), HYPERLINK("", "جولة"), "")</f>
        <v/>
      </c>
      <c r="AA243" t="str">
        <f>IF(NOT("https://maps.app.goo.gl/KVbpBtAUNLD4fGf17" = ""), HYPERLINK("https://maps.app.goo.gl/KVbpBtAUNLD4fGf17", "موقع"), "")</f>
        <v>موقع</v>
      </c>
    </row>
    <row r="244" spans="1:27" x14ac:dyDescent="0.3">
      <c r="A244" t="s">
        <v>1004</v>
      </c>
      <c r="B244" s="1">
        <v>46182.512789351851</v>
      </c>
      <c r="C244" t="s">
        <v>1</v>
      </c>
      <c r="D244" t="s">
        <v>54</v>
      </c>
      <c r="E244" t="s">
        <v>1006</v>
      </c>
      <c r="F244" t="s">
        <v>2262</v>
      </c>
      <c r="G244" t="s">
        <v>20</v>
      </c>
      <c r="H244" t="s">
        <v>828</v>
      </c>
      <c r="I244" t="s">
        <v>874</v>
      </c>
      <c r="J244" t="s">
        <v>887</v>
      </c>
      <c r="K244" t="s">
        <v>1005</v>
      </c>
      <c r="L244">
        <v>-111</v>
      </c>
      <c r="M244">
        <v>974</v>
      </c>
      <c r="N244">
        <v>39000</v>
      </c>
      <c r="Q244" t="s">
        <v>978</v>
      </c>
      <c r="S244" t="s">
        <v>1776</v>
      </c>
      <c r="V244" t="s">
        <v>41</v>
      </c>
      <c r="W244" t="s">
        <v>1007</v>
      </c>
      <c r="Y244" t="str">
        <f t="shared" si="17"/>
        <v/>
      </c>
      <c r="Z244" t="str">
        <f>IF(NOT("" = ""), HYPERLINK("", "جولة"), "")</f>
        <v/>
      </c>
      <c r="AA244" t="str">
        <f>IF(NOT("" = ""), HYPERLINK("", "موقع"), "")</f>
        <v/>
      </c>
    </row>
    <row r="245" spans="1:27" x14ac:dyDescent="0.3">
      <c r="A245" t="s">
        <v>1008</v>
      </c>
      <c r="B245" s="1">
        <v>46182.512789351851</v>
      </c>
      <c r="C245" t="s">
        <v>1</v>
      </c>
      <c r="D245" t="s">
        <v>54</v>
      </c>
      <c r="E245" t="s">
        <v>1010</v>
      </c>
      <c r="F245" t="s">
        <v>2263</v>
      </c>
      <c r="G245" t="s">
        <v>20</v>
      </c>
      <c r="H245" t="s">
        <v>828</v>
      </c>
      <c r="I245" t="s">
        <v>829</v>
      </c>
      <c r="J245" t="s">
        <v>830</v>
      </c>
      <c r="K245" t="s">
        <v>1009</v>
      </c>
      <c r="L245">
        <v>102</v>
      </c>
      <c r="M245">
        <v>779</v>
      </c>
      <c r="N245">
        <v>39000</v>
      </c>
      <c r="O245">
        <v>31.922917000000002</v>
      </c>
      <c r="P245">
        <v>35.928221999999998</v>
      </c>
      <c r="Q245" t="s">
        <v>1011</v>
      </c>
      <c r="R245" t="s">
        <v>2264</v>
      </c>
      <c r="S245" t="s">
        <v>1828</v>
      </c>
      <c r="T245" t="s">
        <v>2265</v>
      </c>
      <c r="U245" t="s">
        <v>2266</v>
      </c>
      <c r="V245" t="s">
        <v>41</v>
      </c>
      <c r="W245" t="s">
        <v>1012</v>
      </c>
      <c r="Y245" t="str">
        <f t="shared" si="17"/>
        <v/>
      </c>
      <c r="Z245" t="str">
        <f>IF(NOT("https://truemarkets3d.net/3d-virtual-tour/housingbank-realestate/phase3/aq-re-100184/index.html" = ""), HYPERLINK("https://truemarkets3d.net/3d-virtual-tour/housingbank-realestate/phase3/aq-re-100184/index.html", "جولة"), "")</f>
        <v>جولة</v>
      </c>
      <c r="AA245" t="str">
        <f>IF(NOT("https://maps.app.goo.gl/YAb79zfuPzgYQsi7A" = ""), HYPERLINK("https://maps.app.goo.gl/YAb79zfuPzgYQsi7A", "موقع"), "")</f>
        <v>موقع</v>
      </c>
    </row>
    <row r="246" spans="1:27" x14ac:dyDescent="0.3">
      <c r="A246" t="s">
        <v>1013</v>
      </c>
      <c r="B246" s="1">
        <v>46182.512789351851</v>
      </c>
      <c r="C246" t="s">
        <v>1</v>
      </c>
      <c r="D246" t="s">
        <v>54</v>
      </c>
      <c r="E246" t="s">
        <v>877</v>
      </c>
      <c r="F246" t="s">
        <v>2267</v>
      </c>
      <c r="G246" t="s">
        <v>20</v>
      </c>
      <c r="H246" t="s">
        <v>828</v>
      </c>
      <c r="I246" t="s">
        <v>874</v>
      </c>
      <c r="J246" t="s">
        <v>875</v>
      </c>
      <c r="K246" t="s">
        <v>954</v>
      </c>
      <c r="L246">
        <v>101</v>
      </c>
      <c r="M246">
        <v>3272</v>
      </c>
      <c r="N246">
        <v>39000</v>
      </c>
      <c r="O246">
        <v>31.956028</v>
      </c>
      <c r="P246">
        <v>35.976083000000003</v>
      </c>
      <c r="Q246" t="s">
        <v>955</v>
      </c>
      <c r="S246" t="s">
        <v>1776</v>
      </c>
      <c r="U246" t="s">
        <v>2233</v>
      </c>
      <c r="V246" t="s">
        <v>41</v>
      </c>
      <c r="W246" t="s">
        <v>1014</v>
      </c>
      <c r="Y246" t="str">
        <f t="shared" si="17"/>
        <v/>
      </c>
      <c r="Z246" t="str">
        <f>IF(NOT("" = ""), HYPERLINK("", "جولة"), "")</f>
        <v/>
      </c>
      <c r="AA246" t="str">
        <f>IF(NOT("https://maps.app.goo.gl/KVbpBtAUNLD4fGf17" = ""), HYPERLINK("https://maps.app.goo.gl/KVbpBtAUNLD4fGf17", "موقع"), "")</f>
        <v>موقع</v>
      </c>
    </row>
    <row r="247" spans="1:27" x14ac:dyDescent="0.3">
      <c r="A247" t="s">
        <v>1015</v>
      </c>
      <c r="B247" s="1">
        <v>46182.512789351851</v>
      </c>
      <c r="C247" t="s">
        <v>1</v>
      </c>
      <c r="D247" t="s">
        <v>54</v>
      </c>
      <c r="E247" t="s">
        <v>940</v>
      </c>
      <c r="F247" t="s">
        <v>2268</v>
      </c>
      <c r="G247" t="s">
        <v>20</v>
      </c>
      <c r="H247" t="s">
        <v>828</v>
      </c>
      <c r="I247" t="s">
        <v>829</v>
      </c>
      <c r="J247" t="s">
        <v>830</v>
      </c>
      <c r="K247" t="s">
        <v>1016</v>
      </c>
      <c r="L247">
        <v>131</v>
      </c>
      <c r="M247">
        <v>397</v>
      </c>
      <c r="N247">
        <v>40000</v>
      </c>
      <c r="Q247" t="s">
        <v>69</v>
      </c>
      <c r="S247" t="s">
        <v>1776</v>
      </c>
      <c r="V247" t="s">
        <v>50</v>
      </c>
      <c r="W247" t="s">
        <v>1017</v>
      </c>
      <c r="Y247" t="str">
        <f t="shared" si="17"/>
        <v/>
      </c>
      <c r="Z247" t="str">
        <f>IF(NOT("" = ""), HYPERLINK("", "جولة"), "")</f>
        <v/>
      </c>
      <c r="AA247" t="str">
        <f>IF(NOT("" = ""), HYPERLINK("", "موقع"), "")</f>
        <v/>
      </c>
    </row>
    <row r="248" spans="1:27" x14ac:dyDescent="0.3">
      <c r="A248" t="s">
        <v>1018</v>
      </c>
      <c r="B248" s="1">
        <v>46182.512789351851</v>
      </c>
      <c r="C248" t="s">
        <v>1</v>
      </c>
      <c r="D248" t="s">
        <v>54</v>
      </c>
      <c r="E248" t="s">
        <v>1021</v>
      </c>
      <c r="F248" t="s">
        <v>2269</v>
      </c>
      <c r="G248" t="s">
        <v>20</v>
      </c>
      <c r="H248" t="s">
        <v>828</v>
      </c>
      <c r="I248" t="s">
        <v>974</v>
      </c>
      <c r="J248" t="s">
        <v>1019</v>
      </c>
      <c r="K248" t="s">
        <v>1020</v>
      </c>
      <c r="L248">
        <v>132</v>
      </c>
      <c r="M248">
        <v>63</v>
      </c>
      <c r="N248">
        <v>41000</v>
      </c>
      <c r="O248">
        <v>32.060194000000003</v>
      </c>
      <c r="P248">
        <v>35.889000000000003</v>
      </c>
      <c r="Q248" t="s">
        <v>1022</v>
      </c>
      <c r="S248" t="s">
        <v>1776</v>
      </c>
      <c r="U248" t="s">
        <v>2270</v>
      </c>
      <c r="V248" t="s">
        <v>50</v>
      </c>
      <c r="W248" t="s">
        <v>1023</v>
      </c>
      <c r="Y248" t="str">
        <f t="shared" si="17"/>
        <v/>
      </c>
      <c r="Z248" t="str">
        <f>IF(NOT("" = ""), HYPERLINK("", "جولة"), "")</f>
        <v/>
      </c>
      <c r="AA248" t="str">
        <f>IF(NOT("https://maps.app.goo.gl/boHCvhcK4sWuF6V77" = ""), HYPERLINK("https://maps.app.goo.gl/boHCvhcK4sWuF6V77", "موقع"), "")</f>
        <v>موقع</v>
      </c>
    </row>
    <row r="249" spans="1:27" x14ac:dyDescent="0.3">
      <c r="A249" t="s">
        <v>1024</v>
      </c>
      <c r="B249" s="1">
        <v>46182.512789351851</v>
      </c>
      <c r="C249" t="s">
        <v>1</v>
      </c>
      <c r="D249" t="s">
        <v>54</v>
      </c>
      <c r="E249" t="s">
        <v>1021</v>
      </c>
      <c r="F249" t="s">
        <v>2271</v>
      </c>
      <c r="G249" t="s">
        <v>20</v>
      </c>
      <c r="H249" t="s">
        <v>828</v>
      </c>
      <c r="I249" t="s">
        <v>974</v>
      </c>
      <c r="J249" t="s">
        <v>1019</v>
      </c>
      <c r="K249" t="s">
        <v>1020</v>
      </c>
      <c r="L249">
        <v>122</v>
      </c>
      <c r="M249">
        <v>63</v>
      </c>
      <c r="N249">
        <v>41000</v>
      </c>
      <c r="O249">
        <v>32.060194000000003</v>
      </c>
      <c r="P249">
        <v>35.889000000000003</v>
      </c>
      <c r="Q249" t="s">
        <v>1022</v>
      </c>
      <c r="S249" t="s">
        <v>1776</v>
      </c>
      <c r="U249" t="s">
        <v>2270</v>
      </c>
      <c r="V249" t="s">
        <v>75</v>
      </c>
      <c r="W249" t="s">
        <v>1025</v>
      </c>
      <c r="Y249" t="str">
        <f t="shared" si="17"/>
        <v/>
      </c>
      <c r="Z249" t="str">
        <f>IF(NOT("" = ""), HYPERLINK("", "جولة"), "")</f>
        <v/>
      </c>
      <c r="AA249" t="str">
        <f>IF(NOT("https://maps.app.goo.gl/boHCvhcK4sWuF6V77" = ""), HYPERLINK("https://maps.app.goo.gl/boHCvhcK4sWuF6V77", "موقع"), "")</f>
        <v>موقع</v>
      </c>
    </row>
    <row r="250" spans="1:27" x14ac:dyDescent="0.3">
      <c r="A250" t="s">
        <v>1026</v>
      </c>
      <c r="B250" s="1">
        <v>46182.512789351851</v>
      </c>
      <c r="C250" t="s">
        <v>1</v>
      </c>
      <c r="D250" t="s">
        <v>54</v>
      </c>
      <c r="E250" t="s">
        <v>990</v>
      </c>
      <c r="F250" t="s">
        <v>2272</v>
      </c>
      <c r="G250" t="s">
        <v>20</v>
      </c>
      <c r="H250" t="s">
        <v>828</v>
      </c>
      <c r="I250" t="s">
        <v>874</v>
      </c>
      <c r="J250" t="s">
        <v>988</v>
      </c>
      <c r="K250" t="s">
        <v>1027</v>
      </c>
      <c r="L250">
        <v>-101</v>
      </c>
      <c r="M250">
        <v>499</v>
      </c>
      <c r="N250">
        <v>42000</v>
      </c>
      <c r="O250">
        <v>31.991361000000001</v>
      </c>
      <c r="P250">
        <v>35.967832999999999</v>
      </c>
      <c r="Q250" t="s">
        <v>1028</v>
      </c>
      <c r="R250" t="s">
        <v>2273</v>
      </c>
      <c r="S250" t="s">
        <v>1828</v>
      </c>
      <c r="U250" t="s">
        <v>2274</v>
      </c>
      <c r="V250" t="s">
        <v>27</v>
      </c>
      <c r="W250" t="s">
        <v>1029</v>
      </c>
      <c r="X250" t="s">
        <v>2275</v>
      </c>
      <c r="Y250" t="str">
        <f>IF(NOT("https://www.youtube.com/embed/U9vzjEodZPg" = ""), HYPERLINK("https://www.youtube.com/embed/U9vzjEodZPg", "فيديو"), "")</f>
        <v>فيديو</v>
      </c>
      <c r="Z250" t="str">
        <f>IF(NOT("https://truemarkets3d.net/3d-virtual-tour/housingbank-realestate/phase3/aq-re-100535/index.html" = ""), HYPERLINK("https://truemarkets3d.net/3d-virtual-tour/housingbank-realestate/phase3/aq-re-100535/index.html", "جولة"), "")</f>
        <v>جولة</v>
      </c>
      <c r="AA250" t="str">
        <f>IF(NOT("https://maps.app.goo.gl/MJJ1DuF6Zs6u4YJS8" = ""), HYPERLINK("https://maps.app.goo.gl/MJJ1DuF6Zs6u4YJS8", "موقع"), "")</f>
        <v>موقع</v>
      </c>
    </row>
    <row r="251" spans="1:27" x14ac:dyDescent="0.3">
      <c r="A251" t="s">
        <v>1030</v>
      </c>
      <c r="B251" s="1">
        <v>46182.512789351851</v>
      </c>
      <c r="C251" t="s">
        <v>1</v>
      </c>
      <c r="D251" t="s">
        <v>54</v>
      </c>
      <c r="E251" t="s">
        <v>1032</v>
      </c>
      <c r="F251" t="s">
        <v>2276</v>
      </c>
      <c r="G251" t="s">
        <v>20</v>
      </c>
      <c r="H251" t="s">
        <v>828</v>
      </c>
      <c r="I251" t="s">
        <v>874</v>
      </c>
      <c r="J251" t="s">
        <v>887</v>
      </c>
      <c r="K251" t="s">
        <v>1031</v>
      </c>
      <c r="L251">
        <v>-101</v>
      </c>
      <c r="M251">
        <v>2488</v>
      </c>
      <c r="N251">
        <v>43000</v>
      </c>
      <c r="O251">
        <v>31.986139000000001</v>
      </c>
      <c r="P251">
        <v>35.926889000000003</v>
      </c>
      <c r="Q251" t="s">
        <v>219</v>
      </c>
      <c r="R251" t="s">
        <v>2277</v>
      </c>
      <c r="S251" t="s">
        <v>1828</v>
      </c>
      <c r="U251" t="s">
        <v>2278</v>
      </c>
      <c r="V251" t="s">
        <v>27</v>
      </c>
      <c r="W251" t="s">
        <v>1033</v>
      </c>
      <c r="Y251" t="str">
        <f t="shared" ref="Y251:Y259" si="19">IF(NOT("" = ""), HYPERLINK("", "فيديو"), "")</f>
        <v/>
      </c>
      <c r="Z251" t="str">
        <f>IF(NOT("https://truemarkets3d.net/3d-virtual-tour/housingbank-realestate/phase3/aq-re-100027/index.html" = ""), HYPERLINK("https://truemarkets3d.net/3d-virtual-tour/housingbank-realestate/phase3/aq-re-100027/index.html", "جولة"), "")</f>
        <v>جولة</v>
      </c>
      <c r="AA251" t="str">
        <f>IF(NOT("https://maps.app.goo.gl/pzVXtMBLw2zSNrni6" = ""), HYPERLINK("https://maps.app.goo.gl/pzVXtMBLw2zSNrni6", "موقع"), "")</f>
        <v>موقع</v>
      </c>
    </row>
    <row r="252" spans="1:27" x14ac:dyDescent="0.3">
      <c r="A252" t="s">
        <v>1034</v>
      </c>
      <c r="B252" s="1">
        <v>46182.512789351851</v>
      </c>
      <c r="C252" t="s">
        <v>1</v>
      </c>
      <c r="D252" t="s">
        <v>54</v>
      </c>
      <c r="E252" t="s">
        <v>1037</v>
      </c>
      <c r="F252" t="s">
        <v>2279</v>
      </c>
      <c r="G252" t="s">
        <v>20</v>
      </c>
      <c r="H252" t="s">
        <v>828</v>
      </c>
      <c r="I252" t="s">
        <v>860</v>
      </c>
      <c r="J252" t="s">
        <v>1035</v>
      </c>
      <c r="K252" t="s">
        <v>1036</v>
      </c>
      <c r="L252">
        <v>-102</v>
      </c>
      <c r="M252">
        <v>1213</v>
      </c>
      <c r="N252">
        <v>43000</v>
      </c>
      <c r="O252">
        <v>31.858556</v>
      </c>
      <c r="P252">
        <v>35.921111000000003</v>
      </c>
      <c r="Q252" t="s">
        <v>1038</v>
      </c>
      <c r="R252" t="s">
        <v>2280</v>
      </c>
      <c r="S252" t="s">
        <v>1828</v>
      </c>
      <c r="U252" t="s">
        <v>2281</v>
      </c>
      <c r="V252" t="s">
        <v>27</v>
      </c>
      <c r="W252" t="s">
        <v>1039</v>
      </c>
      <c r="Y252" t="str">
        <f t="shared" si="19"/>
        <v/>
      </c>
      <c r="Z252" t="str">
        <f>IF(NOT("https://truemarkets3d.net/3d-virtual-tour/housingbank-realestate/phase3/aq-re-100130/index.html" = ""), HYPERLINK("https://truemarkets3d.net/3d-virtual-tour/housingbank-realestate/phase3/aq-re-100130/index.html", "جولة"), "")</f>
        <v>جولة</v>
      </c>
      <c r="AA252" t="str">
        <f>IF(NOT("https://maps.app.goo.gl/b1Hc8pAfjoevcjWLA" = ""), HYPERLINK("https://maps.app.goo.gl/b1Hc8pAfjoevcjWLA", "موقع"), "")</f>
        <v>موقع</v>
      </c>
    </row>
    <row r="253" spans="1:27" x14ac:dyDescent="0.3">
      <c r="A253" t="s">
        <v>1040</v>
      </c>
      <c r="B253" s="1">
        <v>46182.512789351851</v>
      </c>
      <c r="C253" t="s">
        <v>1</v>
      </c>
      <c r="D253" t="s">
        <v>54</v>
      </c>
      <c r="E253" t="s">
        <v>1043</v>
      </c>
      <c r="F253" t="s">
        <v>2282</v>
      </c>
      <c r="G253" t="s">
        <v>20</v>
      </c>
      <c r="H253" t="s">
        <v>828</v>
      </c>
      <c r="I253" t="s">
        <v>974</v>
      </c>
      <c r="J253" t="s">
        <v>1041</v>
      </c>
      <c r="K253" t="s">
        <v>1042</v>
      </c>
      <c r="L253">
        <v>-112</v>
      </c>
      <c r="M253">
        <v>309</v>
      </c>
      <c r="N253">
        <v>43000</v>
      </c>
      <c r="O253">
        <v>32.02675</v>
      </c>
      <c r="P253">
        <v>35.931806000000002</v>
      </c>
      <c r="Q253" t="s">
        <v>155</v>
      </c>
      <c r="R253" t="s">
        <v>2283</v>
      </c>
      <c r="S253" t="s">
        <v>1828</v>
      </c>
      <c r="U253" t="s">
        <v>2284</v>
      </c>
      <c r="V253" t="s">
        <v>27</v>
      </c>
      <c r="W253" t="s">
        <v>1044</v>
      </c>
      <c r="Y253" t="str">
        <f t="shared" si="19"/>
        <v/>
      </c>
      <c r="Z253" t="str">
        <f>IF(NOT("https://truemarkets3d.net/3d-virtual-tour/housingbank-realestate/phase3/aq-re-100146/index.html" = ""), HYPERLINK("https://truemarkets3d.net/3d-virtual-tour/housingbank-realestate/phase3/aq-re-100146/index.html", "جولة"), "")</f>
        <v>جولة</v>
      </c>
      <c r="AA253" t="str">
        <f>IF(NOT("https://maps.app.goo.gl/211YwpBmvUgA5Kkq5" = ""), HYPERLINK("https://maps.app.goo.gl/211YwpBmvUgA5Kkq5", "موقع"), "")</f>
        <v>موقع</v>
      </c>
    </row>
    <row r="254" spans="1:27" x14ac:dyDescent="0.3">
      <c r="A254" t="s">
        <v>1045</v>
      </c>
      <c r="B254" s="1">
        <v>46182.512789351851</v>
      </c>
      <c r="C254" t="s">
        <v>1</v>
      </c>
      <c r="D254" t="s">
        <v>54</v>
      </c>
      <c r="E254" t="s">
        <v>990</v>
      </c>
      <c r="F254" t="s">
        <v>2285</v>
      </c>
      <c r="G254" t="s">
        <v>20</v>
      </c>
      <c r="H254" t="s">
        <v>828</v>
      </c>
      <c r="I254" t="s">
        <v>874</v>
      </c>
      <c r="J254" t="s">
        <v>988</v>
      </c>
      <c r="K254" t="s">
        <v>1046</v>
      </c>
      <c r="L254">
        <v>112</v>
      </c>
      <c r="M254">
        <v>997</v>
      </c>
      <c r="N254">
        <v>43000</v>
      </c>
      <c r="Q254" t="s">
        <v>616</v>
      </c>
      <c r="S254" t="s">
        <v>1776</v>
      </c>
      <c r="V254" t="s">
        <v>32</v>
      </c>
      <c r="W254" t="s">
        <v>1047</v>
      </c>
      <c r="Y254" t="str">
        <f t="shared" si="19"/>
        <v/>
      </c>
      <c r="Z254" t="str">
        <f>IF(NOT("" = ""), HYPERLINK("", "جولة"), "")</f>
        <v/>
      </c>
      <c r="AA254" t="str">
        <f>IF(NOT("" = ""), HYPERLINK("", "موقع"), "")</f>
        <v/>
      </c>
    </row>
    <row r="255" spans="1:27" x14ac:dyDescent="0.3">
      <c r="A255" t="s">
        <v>1048</v>
      </c>
      <c r="B255" s="1">
        <v>46182.512789351851</v>
      </c>
      <c r="C255" t="s">
        <v>1</v>
      </c>
      <c r="D255" t="s">
        <v>54</v>
      </c>
      <c r="E255" t="s">
        <v>1051</v>
      </c>
      <c r="F255" t="s">
        <v>2286</v>
      </c>
      <c r="G255" t="s">
        <v>20</v>
      </c>
      <c r="H255" t="s">
        <v>828</v>
      </c>
      <c r="I255" t="s">
        <v>974</v>
      </c>
      <c r="J255" t="s">
        <v>1049</v>
      </c>
      <c r="K255" t="s">
        <v>1050</v>
      </c>
      <c r="L255">
        <v>121</v>
      </c>
      <c r="M255">
        <v>47</v>
      </c>
      <c r="N255">
        <v>43000</v>
      </c>
      <c r="O255">
        <v>32.023916999999997</v>
      </c>
      <c r="P255">
        <v>35.866833</v>
      </c>
      <c r="Q255" t="s">
        <v>1052</v>
      </c>
      <c r="R255" t="s">
        <v>2287</v>
      </c>
      <c r="S255" t="s">
        <v>1828</v>
      </c>
      <c r="U255" t="s">
        <v>2288</v>
      </c>
      <c r="V255" t="s">
        <v>75</v>
      </c>
      <c r="W255" t="s">
        <v>1053</v>
      </c>
      <c r="Y255" t="str">
        <f t="shared" si="19"/>
        <v/>
      </c>
      <c r="Z255" t="str">
        <f>IF(NOT("https://truemarkets3d.net/3d-virtual-tour/housingbank-realestate/phase3/aq-re-100157/index.html" = ""), HYPERLINK("https://truemarkets3d.net/3d-virtual-tour/housingbank-realestate/phase3/aq-re-100157/index.html", "جولة"), "")</f>
        <v>جولة</v>
      </c>
      <c r="AA255" t="str">
        <f>IF(NOT("https://maps.app.goo.gl/UWZgTtN1KouUbsRM9" = ""), HYPERLINK("https://maps.app.goo.gl/UWZgTtN1KouUbsRM9", "موقع"), "")</f>
        <v>موقع</v>
      </c>
    </row>
    <row r="256" spans="1:27" x14ac:dyDescent="0.3">
      <c r="A256" t="s">
        <v>1054</v>
      </c>
      <c r="B256" s="1">
        <v>46182.512789351851</v>
      </c>
      <c r="C256" t="s">
        <v>1</v>
      </c>
      <c r="D256" t="s">
        <v>54</v>
      </c>
      <c r="E256" t="s">
        <v>889</v>
      </c>
      <c r="F256" t="s">
        <v>2289</v>
      </c>
      <c r="G256" t="s">
        <v>20</v>
      </c>
      <c r="H256" t="s">
        <v>828</v>
      </c>
      <c r="I256" t="s">
        <v>874</v>
      </c>
      <c r="J256" t="s">
        <v>887</v>
      </c>
      <c r="K256" t="s">
        <v>888</v>
      </c>
      <c r="L256">
        <v>131</v>
      </c>
      <c r="M256">
        <v>5170</v>
      </c>
      <c r="N256">
        <v>44000</v>
      </c>
      <c r="O256">
        <v>31.977667</v>
      </c>
      <c r="P256">
        <v>35.960250000000002</v>
      </c>
      <c r="Q256" t="s">
        <v>1055</v>
      </c>
      <c r="R256" t="s">
        <v>2290</v>
      </c>
      <c r="S256" t="s">
        <v>1828</v>
      </c>
      <c r="U256" t="s">
        <v>2291</v>
      </c>
      <c r="V256" t="s">
        <v>50</v>
      </c>
      <c r="W256" t="s">
        <v>1056</v>
      </c>
      <c r="Y256" t="str">
        <f t="shared" si="19"/>
        <v/>
      </c>
      <c r="Z256" t="str">
        <f>IF(NOT("https://truemarkets3d.net/3d-virtual-tour/housingbank-realestate/phase3/aq-re-100541/index.html" = ""), HYPERLINK("https://truemarkets3d.net/3d-virtual-tour/housingbank-realestate/phase3/aq-re-100541/index.html", "جولة"), "")</f>
        <v>جولة</v>
      </c>
      <c r="AA256" t="str">
        <f>IF(NOT("https://maps.app.goo.gl/UiNy15a7zMz9Q7ya8" = ""), HYPERLINK("https://maps.app.goo.gl/UiNy15a7zMz9Q7ya8", "موقع"), "")</f>
        <v>موقع</v>
      </c>
    </row>
    <row r="257" spans="1:27" x14ac:dyDescent="0.3">
      <c r="A257" t="s">
        <v>1057</v>
      </c>
      <c r="B257" s="1">
        <v>46182.512789351851</v>
      </c>
      <c r="C257" t="s">
        <v>1</v>
      </c>
      <c r="D257" t="s">
        <v>54</v>
      </c>
      <c r="E257" t="s">
        <v>1021</v>
      </c>
      <c r="F257" t="s">
        <v>2292</v>
      </c>
      <c r="G257" t="s">
        <v>20</v>
      </c>
      <c r="H257" t="s">
        <v>828</v>
      </c>
      <c r="I257" t="s">
        <v>974</v>
      </c>
      <c r="J257" t="s">
        <v>1019</v>
      </c>
      <c r="K257" t="s">
        <v>1020</v>
      </c>
      <c r="L257">
        <v>102</v>
      </c>
      <c r="M257">
        <v>63</v>
      </c>
      <c r="N257">
        <v>44000</v>
      </c>
      <c r="O257">
        <v>32.060194000000003</v>
      </c>
      <c r="P257">
        <v>35.889000000000003</v>
      </c>
      <c r="Q257" t="s">
        <v>1022</v>
      </c>
      <c r="S257" t="s">
        <v>1776</v>
      </c>
      <c r="U257" t="s">
        <v>2270</v>
      </c>
      <c r="V257" t="s">
        <v>41</v>
      </c>
      <c r="W257" t="s">
        <v>1058</v>
      </c>
      <c r="Y257" t="str">
        <f t="shared" si="19"/>
        <v/>
      </c>
      <c r="Z257" t="str">
        <f>IF(NOT("" = ""), HYPERLINK("", "جولة"), "")</f>
        <v/>
      </c>
      <c r="AA257" t="str">
        <f>IF(NOT("https://maps.app.goo.gl/boHCvhcK4sWuF6V77" = ""), HYPERLINK("https://maps.app.goo.gl/boHCvhcK4sWuF6V77", "موقع"), "")</f>
        <v>موقع</v>
      </c>
    </row>
    <row r="258" spans="1:27" x14ac:dyDescent="0.3">
      <c r="A258" t="s">
        <v>1059</v>
      </c>
      <c r="B258" s="1">
        <v>46182.512789351851</v>
      </c>
      <c r="C258" t="s">
        <v>1</v>
      </c>
      <c r="D258" t="s">
        <v>54</v>
      </c>
      <c r="E258" t="s">
        <v>1021</v>
      </c>
      <c r="F258" t="s">
        <v>2293</v>
      </c>
      <c r="G258" t="s">
        <v>20</v>
      </c>
      <c r="H258" t="s">
        <v>828</v>
      </c>
      <c r="I258" t="s">
        <v>974</v>
      </c>
      <c r="J258" t="s">
        <v>1019</v>
      </c>
      <c r="K258" t="s">
        <v>1020</v>
      </c>
      <c r="L258">
        <v>112</v>
      </c>
      <c r="M258">
        <v>63</v>
      </c>
      <c r="N258">
        <v>44000</v>
      </c>
      <c r="O258">
        <v>32.060194000000003</v>
      </c>
      <c r="P258">
        <v>35.889000000000003</v>
      </c>
      <c r="Q258" t="s">
        <v>1022</v>
      </c>
      <c r="S258" t="s">
        <v>1776</v>
      </c>
      <c r="U258" t="s">
        <v>2270</v>
      </c>
      <c r="V258" t="s">
        <v>32</v>
      </c>
      <c r="W258" t="s">
        <v>1060</v>
      </c>
      <c r="Y258" t="str">
        <f t="shared" si="19"/>
        <v/>
      </c>
      <c r="Z258" t="str">
        <f>IF(NOT("" = ""), HYPERLINK("", "جولة"), "")</f>
        <v/>
      </c>
      <c r="AA258" t="str">
        <f>IF(NOT("https://maps.app.goo.gl/boHCvhcK4sWuF6V77" = ""), HYPERLINK("https://maps.app.goo.gl/boHCvhcK4sWuF6V77", "موقع"), "")</f>
        <v>موقع</v>
      </c>
    </row>
    <row r="259" spans="1:27" x14ac:dyDescent="0.3">
      <c r="A259" t="s">
        <v>1061</v>
      </c>
      <c r="B259" s="1">
        <v>46182.512789351851</v>
      </c>
      <c r="C259" t="s">
        <v>1</v>
      </c>
      <c r="D259" t="s">
        <v>54</v>
      </c>
      <c r="E259" t="s">
        <v>1021</v>
      </c>
      <c r="F259" t="s">
        <v>2294</v>
      </c>
      <c r="G259" t="s">
        <v>20</v>
      </c>
      <c r="H259" t="s">
        <v>828</v>
      </c>
      <c r="I259" t="s">
        <v>974</v>
      </c>
      <c r="J259" t="s">
        <v>1019</v>
      </c>
      <c r="K259" t="s">
        <v>1020</v>
      </c>
      <c r="L259">
        <v>-112</v>
      </c>
      <c r="M259">
        <v>63</v>
      </c>
      <c r="N259">
        <v>44000</v>
      </c>
      <c r="O259">
        <v>32.060194000000003</v>
      </c>
      <c r="P259">
        <v>35.889000000000003</v>
      </c>
      <c r="Q259" t="s">
        <v>775</v>
      </c>
      <c r="S259" t="s">
        <v>1776</v>
      </c>
      <c r="U259" t="s">
        <v>2270</v>
      </c>
      <c r="V259" t="s">
        <v>27</v>
      </c>
      <c r="W259" t="s">
        <v>1062</v>
      </c>
      <c r="Y259" t="str">
        <f t="shared" si="19"/>
        <v/>
      </c>
      <c r="Z259" t="str">
        <f>IF(NOT("" = ""), HYPERLINK("", "جولة"), "")</f>
        <v/>
      </c>
      <c r="AA259" t="str">
        <f>IF(NOT("https://maps.app.goo.gl/boHCvhcK4sWuF6V77" = ""), HYPERLINK("https://maps.app.goo.gl/boHCvhcK4sWuF6V77", "موقع"), "")</f>
        <v>موقع</v>
      </c>
    </row>
    <row r="260" spans="1:27" x14ac:dyDescent="0.3">
      <c r="A260" t="s">
        <v>1063</v>
      </c>
      <c r="B260" s="1">
        <v>46182.512789351851</v>
      </c>
      <c r="C260" t="s">
        <v>1</v>
      </c>
      <c r="D260" t="s">
        <v>54</v>
      </c>
      <c r="E260" t="s">
        <v>225</v>
      </c>
      <c r="F260" t="s">
        <v>2295</v>
      </c>
      <c r="G260" t="s">
        <v>20</v>
      </c>
      <c r="H260" t="s">
        <v>828</v>
      </c>
      <c r="I260" t="s">
        <v>974</v>
      </c>
      <c r="J260" t="s">
        <v>1049</v>
      </c>
      <c r="K260" t="s">
        <v>1064</v>
      </c>
      <c r="L260">
        <v>132</v>
      </c>
      <c r="M260">
        <v>267</v>
      </c>
      <c r="N260">
        <v>45000</v>
      </c>
      <c r="O260">
        <v>32.021444000000002</v>
      </c>
      <c r="P260">
        <v>35.862917000000003</v>
      </c>
      <c r="Q260" t="s">
        <v>780</v>
      </c>
      <c r="R260" t="s">
        <v>2296</v>
      </c>
      <c r="S260" t="s">
        <v>1828</v>
      </c>
      <c r="U260" t="s">
        <v>2297</v>
      </c>
      <c r="V260" t="s">
        <v>50</v>
      </c>
      <c r="W260" t="s">
        <v>1065</v>
      </c>
      <c r="X260" t="s">
        <v>2298</v>
      </c>
      <c r="Y260" t="str">
        <f>IF(NOT("https://www.youtube.com/embed/w5LDp-sbq7U" = ""), HYPERLINK("https://www.youtube.com/embed/w5LDp-sbq7U", "فيديو"), "")</f>
        <v>فيديو</v>
      </c>
      <c r="Z260" t="str">
        <f>IF(NOT("https://truemarkets3d.net/3d-virtual-tour/housingbank-realestate/phase3/aq-re-100711/index.html" = ""), HYPERLINK("https://truemarkets3d.net/3d-virtual-tour/housingbank-realestate/phase3/aq-re-100711/index.html", "جولة"), "")</f>
        <v>جولة</v>
      </c>
      <c r="AA260" t="str">
        <f>IF(NOT("https://maps.app.goo.gl/jYFKLPUhbgENKsww7" = ""), HYPERLINK("https://maps.app.goo.gl/jYFKLPUhbgENKsww7", "موقع"), "")</f>
        <v>موقع</v>
      </c>
    </row>
    <row r="261" spans="1:27" x14ac:dyDescent="0.3">
      <c r="A261" t="s">
        <v>1066</v>
      </c>
      <c r="B261" s="1">
        <v>46182.512789351851</v>
      </c>
      <c r="C261" t="s">
        <v>1</v>
      </c>
      <c r="D261" t="s">
        <v>54</v>
      </c>
      <c r="E261" t="s">
        <v>997</v>
      </c>
      <c r="F261" t="s">
        <v>2299</v>
      </c>
      <c r="G261" t="s">
        <v>20</v>
      </c>
      <c r="H261" t="s">
        <v>828</v>
      </c>
      <c r="I261" t="s">
        <v>829</v>
      </c>
      <c r="J261" t="s">
        <v>830</v>
      </c>
      <c r="K261" t="s">
        <v>996</v>
      </c>
      <c r="L261">
        <v>-103</v>
      </c>
      <c r="M261">
        <v>1570</v>
      </c>
      <c r="N261">
        <v>46000</v>
      </c>
      <c r="O261">
        <v>31.913194000000001</v>
      </c>
      <c r="P261">
        <v>35.886000000000003</v>
      </c>
      <c r="Q261" t="s">
        <v>927</v>
      </c>
      <c r="R261" t="s">
        <v>2300</v>
      </c>
      <c r="S261" t="s">
        <v>1828</v>
      </c>
      <c r="U261" t="s">
        <v>2301</v>
      </c>
      <c r="V261" t="s">
        <v>27</v>
      </c>
      <c r="W261" t="s">
        <v>1067</v>
      </c>
      <c r="Y261" t="str">
        <f t="shared" ref="Y261:Y292" si="20">IF(NOT("" = ""), HYPERLINK("", "فيديو"), "")</f>
        <v/>
      </c>
      <c r="Z261" t="str">
        <f>IF(NOT("https://truemarkets3d.net/3d-virtual-tour/housingbank-realestate/phase3/aq-re-100014/index.html" = ""), HYPERLINK("https://truemarkets3d.net/3d-virtual-tour/housingbank-realestate/phase3/aq-re-100014/index.html", "جولة"), "")</f>
        <v>جولة</v>
      </c>
      <c r="AA261" t="str">
        <f>IF(NOT("https://maps.app.goo.gl/8TyRfcepVexCGndS9" = ""), HYPERLINK("https://maps.app.goo.gl/8TyRfcepVexCGndS9", "موقع"), "")</f>
        <v>موقع</v>
      </c>
    </row>
    <row r="262" spans="1:27" x14ac:dyDescent="0.3">
      <c r="A262" t="s">
        <v>1068</v>
      </c>
      <c r="B262" s="1">
        <v>46182.512789351851</v>
      </c>
      <c r="C262" t="s">
        <v>1</v>
      </c>
      <c r="D262" t="s">
        <v>54</v>
      </c>
      <c r="F262" t="s">
        <v>2302</v>
      </c>
      <c r="G262" t="s">
        <v>20</v>
      </c>
      <c r="H262" t="s">
        <v>828</v>
      </c>
      <c r="I262" t="s">
        <v>974</v>
      </c>
      <c r="J262" t="s">
        <v>1049</v>
      </c>
      <c r="K262" t="s">
        <v>1064</v>
      </c>
      <c r="L262">
        <v>134</v>
      </c>
      <c r="M262">
        <v>267</v>
      </c>
      <c r="N262">
        <v>46000</v>
      </c>
      <c r="O262">
        <v>32.021444000000002</v>
      </c>
      <c r="P262">
        <v>35.862917000000003</v>
      </c>
      <c r="Q262" t="s">
        <v>296</v>
      </c>
      <c r="R262" t="s">
        <v>2303</v>
      </c>
      <c r="S262" t="s">
        <v>1828</v>
      </c>
      <c r="U262" t="s">
        <v>2304</v>
      </c>
      <c r="V262" t="s">
        <v>50</v>
      </c>
      <c r="W262" t="s">
        <v>1069</v>
      </c>
      <c r="Y262" t="str">
        <f t="shared" si="20"/>
        <v/>
      </c>
      <c r="Z262" t="str">
        <f>IF(NOT("https://truemarkets3d.net/3d-virtual-tour/housingbank-realestate/phase3/aq-re-100169/index.html" = ""), HYPERLINK("https://truemarkets3d.net/3d-virtual-tour/housingbank-realestate/phase3/aq-re-100169/index.html", "جولة"), "")</f>
        <v>جولة</v>
      </c>
      <c r="AA262" t="str">
        <f>IF(NOT("https://maps.app.goo.gl/peiScTgvKRJSFmbp7" = ""), HYPERLINK("https://maps.app.goo.gl/peiScTgvKRJSFmbp7", "موقع"), "")</f>
        <v>موقع</v>
      </c>
    </row>
    <row r="263" spans="1:27" x14ac:dyDescent="0.3">
      <c r="A263" t="s">
        <v>1070</v>
      </c>
      <c r="B263" s="1">
        <v>46182.512789351851</v>
      </c>
      <c r="C263" t="s">
        <v>1</v>
      </c>
      <c r="D263" t="s">
        <v>54</v>
      </c>
      <c r="E263" t="s">
        <v>990</v>
      </c>
      <c r="F263" t="s">
        <v>1956</v>
      </c>
      <c r="G263" t="s">
        <v>20</v>
      </c>
      <c r="H263" t="s">
        <v>828</v>
      </c>
      <c r="I263" t="s">
        <v>874</v>
      </c>
      <c r="J263" t="s">
        <v>988</v>
      </c>
      <c r="K263" t="s">
        <v>1027</v>
      </c>
      <c r="L263">
        <v>132</v>
      </c>
      <c r="M263">
        <v>2779</v>
      </c>
      <c r="N263">
        <v>47000</v>
      </c>
      <c r="O263">
        <v>31.992916999999998</v>
      </c>
      <c r="P263">
        <v>35.961500000000001</v>
      </c>
      <c r="Q263" t="s">
        <v>1071</v>
      </c>
      <c r="S263" t="s">
        <v>1776</v>
      </c>
      <c r="U263" t="s">
        <v>2305</v>
      </c>
      <c r="V263" t="s">
        <v>50</v>
      </c>
      <c r="W263" t="s">
        <v>1072</v>
      </c>
      <c r="Y263" t="str">
        <f t="shared" si="20"/>
        <v/>
      </c>
      <c r="Z263" t="str">
        <f>IF(NOT("" = ""), HYPERLINK("", "جولة"), "")</f>
        <v/>
      </c>
      <c r="AA263" t="str">
        <f>IF(NOT("https://maps.app.goo.gl/7EN8Zya1qa4zmhRH9" = ""), HYPERLINK("https://maps.app.goo.gl/7EN8Zya1qa4zmhRH9", "موقع"), "")</f>
        <v>موقع</v>
      </c>
    </row>
    <row r="264" spans="1:27" x14ac:dyDescent="0.3">
      <c r="A264" t="s">
        <v>1073</v>
      </c>
      <c r="B264" s="1">
        <v>46182.512789351851</v>
      </c>
      <c r="C264" t="s">
        <v>1</v>
      </c>
      <c r="D264" t="s">
        <v>54</v>
      </c>
      <c r="E264" t="s">
        <v>1006</v>
      </c>
      <c r="F264" t="s">
        <v>2306</v>
      </c>
      <c r="G264" t="s">
        <v>20</v>
      </c>
      <c r="H264" t="s">
        <v>828</v>
      </c>
      <c r="I264" t="s">
        <v>874</v>
      </c>
      <c r="J264" t="s">
        <v>887</v>
      </c>
      <c r="K264" t="s">
        <v>888</v>
      </c>
      <c r="L264">
        <v>-101</v>
      </c>
      <c r="M264">
        <v>6762</v>
      </c>
      <c r="N264">
        <v>47000</v>
      </c>
      <c r="O264">
        <v>31.984999999999999</v>
      </c>
      <c r="P264">
        <v>35.949333000000003</v>
      </c>
      <c r="Q264" t="s">
        <v>1028</v>
      </c>
      <c r="S264" t="s">
        <v>1776</v>
      </c>
      <c r="U264" t="s">
        <v>2307</v>
      </c>
      <c r="V264" t="s">
        <v>41</v>
      </c>
      <c r="W264" t="s">
        <v>1074</v>
      </c>
      <c r="Y264" t="str">
        <f t="shared" si="20"/>
        <v/>
      </c>
      <c r="Z264" t="str">
        <f>IF(NOT("" = ""), HYPERLINK("", "جولة"), "")</f>
        <v/>
      </c>
      <c r="AA264" t="str">
        <f>IF(NOT("https://maps.app.goo.gl/1rqMktQnzQcfXMkH8" = ""), HYPERLINK("https://maps.app.goo.gl/1rqMktQnzQcfXMkH8", "موقع"), "")</f>
        <v>موقع</v>
      </c>
    </row>
    <row r="265" spans="1:27" x14ac:dyDescent="0.3">
      <c r="A265" t="s">
        <v>1075</v>
      </c>
      <c r="B265" s="1">
        <v>46182.512789351851</v>
      </c>
      <c r="C265" t="s">
        <v>1</v>
      </c>
      <c r="D265" t="s">
        <v>54</v>
      </c>
      <c r="E265" t="s">
        <v>990</v>
      </c>
      <c r="F265" t="s">
        <v>2308</v>
      </c>
      <c r="G265" t="s">
        <v>20</v>
      </c>
      <c r="H265" t="s">
        <v>828</v>
      </c>
      <c r="I265" t="s">
        <v>874</v>
      </c>
      <c r="J265" t="s">
        <v>988</v>
      </c>
      <c r="K265" t="s">
        <v>1027</v>
      </c>
      <c r="L265">
        <v>131</v>
      </c>
      <c r="M265">
        <v>224</v>
      </c>
      <c r="N265">
        <v>47000</v>
      </c>
      <c r="Q265" t="s">
        <v>890</v>
      </c>
      <c r="S265" t="s">
        <v>1776</v>
      </c>
      <c r="V265" t="s">
        <v>50</v>
      </c>
      <c r="W265" t="s">
        <v>1076</v>
      </c>
      <c r="Y265" t="str">
        <f t="shared" si="20"/>
        <v/>
      </c>
      <c r="Z265" t="str">
        <f>IF(NOT("" = ""), HYPERLINK("", "جولة"), "")</f>
        <v/>
      </c>
      <c r="AA265" t="str">
        <f>IF(NOT("" = ""), HYPERLINK("", "موقع"), "")</f>
        <v/>
      </c>
    </row>
    <row r="266" spans="1:27" x14ac:dyDescent="0.3">
      <c r="A266" t="s">
        <v>1077</v>
      </c>
      <c r="B266" s="1">
        <v>46182.512789351851</v>
      </c>
      <c r="C266" t="s">
        <v>1</v>
      </c>
      <c r="D266" t="s">
        <v>54</v>
      </c>
      <c r="E266" t="s">
        <v>990</v>
      </c>
      <c r="F266" t="s">
        <v>2309</v>
      </c>
      <c r="G266" t="s">
        <v>20</v>
      </c>
      <c r="H266" t="s">
        <v>828</v>
      </c>
      <c r="I266" t="s">
        <v>874</v>
      </c>
      <c r="J266" t="s">
        <v>988</v>
      </c>
      <c r="K266" t="s">
        <v>989</v>
      </c>
      <c r="L266">
        <v>-101</v>
      </c>
      <c r="M266">
        <v>1489</v>
      </c>
      <c r="N266">
        <v>47000</v>
      </c>
      <c r="O266">
        <v>32.001416999999996</v>
      </c>
      <c r="P266">
        <v>35.962527999999999</v>
      </c>
      <c r="Q266" t="s">
        <v>1078</v>
      </c>
      <c r="R266" t="s">
        <v>2310</v>
      </c>
      <c r="S266" t="s">
        <v>1828</v>
      </c>
      <c r="U266" t="s">
        <v>2311</v>
      </c>
      <c r="V266" t="s">
        <v>27</v>
      </c>
      <c r="W266" t="s">
        <v>1079</v>
      </c>
      <c r="Y266" t="str">
        <f t="shared" si="20"/>
        <v/>
      </c>
      <c r="Z266" t="str">
        <f>IF(NOT("https://truemarkets3d.net/3d-virtual-tour/housingbank-realestate/phase3/aq-re-100478/index.html" = ""), HYPERLINK("https://truemarkets3d.net/3d-virtual-tour/housingbank-realestate/phase3/aq-re-100478/index.html", "جولة"), "")</f>
        <v>جولة</v>
      </c>
      <c r="AA266" t="str">
        <f>IF(NOT("https://maps.app.goo.gl/eZrUbqiQZUf7VrZr7" = ""), HYPERLINK("https://maps.app.goo.gl/eZrUbqiQZUf7VrZr7", "موقع"), "")</f>
        <v>موقع</v>
      </c>
    </row>
    <row r="267" spans="1:27" x14ac:dyDescent="0.3">
      <c r="A267" t="s">
        <v>1080</v>
      </c>
      <c r="B267" s="1">
        <v>46182.512789351851</v>
      </c>
      <c r="C267" t="s">
        <v>1</v>
      </c>
      <c r="D267" t="s">
        <v>54</v>
      </c>
      <c r="E267" t="s">
        <v>990</v>
      </c>
      <c r="F267" t="s">
        <v>2312</v>
      </c>
      <c r="G267" t="s">
        <v>20</v>
      </c>
      <c r="H267" t="s">
        <v>828</v>
      </c>
      <c r="I267" t="s">
        <v>874</v>
      </c>
      <c r="J267" t="s">
        <v>988</v>
      </c>
      <c r="K267" t="s">
        <v>989</v>
      </c>
      <c r="L267">
        <v>122</v>
      </c>
      <c r="M267">
        <v>1175</v>
      </c>
      <c r="N267">
        <v>47000</v>
      </c>
      <c r="Q267" t="s">
        <v>155</v>
      </c>
      <c r="S267" t="s">
        <v>1776</v>
      </c>
      <c r="V267" t="s">
        <v>75</v>
      </c>
      <c r="W267" t="s">
        <v>1081</v>
      </c>
      <c r="Y267" t="str">
        <f t="shared" si="20"/>
        <v/>
      </c>
      <c r="Z267" t="str">
        <f>IF(NOT("" = ""), HYPERLINK("", "جولة"), "")</f>
        <v/>
      </c>
      <c r="AA267" t="str">
        <f>IF(NOT("" = ""), HYPERLINK("", "موقع"), "")</f>
        <v/>
      </c>
    </row>
    <row r="268" spans="1:27" x14ac:dyDescent="0.3">
      <c r="A268" t="s">
        <v>1082</v>
      </c>
      <c r="B268" s="1">
        <v>46182.512789351851</v>
      </c>
      <c r="C268" t="s">
        <v>1</v>
      </c>
      <c r="D268" t="s">
        <v>54</v>
      </c>
      <c r="E268" t="s">
        <v>1084</v>
      </c>
      <c r="F268" t="s">
        <v>2313</v>
      </c>
      <c r="G268" t="s">
        <v>20</v>
      </c>
      <c r="H268" t="s">
        <v>828</v>
      </c>
      <c r="I268" t="s">
        <v>860</v>
      </c>
      <c r="J268" t="s">
        <v>861</v>
      </c>
      <c r="K268" t="s">
        <v>1083</v>
      </c>
      <c r="L268">
        <v>122</v>
      </c>
      <c r="M268">
        <v>1613</v>
      </c>
      <c r="N268">
        <v>47000</v>
      </c>
      <c r="O268">
        <v>31.935666999999999</v>
      </c>
      <c r="P268">
        <v>35.960500000000003</v>
      </c>
      <c r="Q268" t="s">
        <v>1085</v>
      </c>
      <c r="R268" t="s">
        <v>2314</v>
      </c>
      <c r="S268" t="s">
        <v>1828</v>
      </c>
      <c r="U268" t="s">
        <v>2315</v>
      </c>
      <c r="V268" t="s">
        <v>75</v>
      </c>
      <c r="W268" t="s">
        <v>1086</v>
      </c>
      <c r="Y268" t="str">
        <f t="shared" si="20"/>
        <v/>
      </c>
      <c r="Z268" t="str">
        <f>IF(NOT("https://truemarkets3d.net/3d-virtual-tour/housingbank-realestate/phase3/aq-re-100550/index.html" = ""), HYPERLINK("https://truemarkets3d.net/3d-virtual-tour/housingbank-realestate/phase3/aq-re-100550/index.html", "جولة"), "")</f>
        <v>جولة</v>
      </c>
      <c r="AA268" t="str">
        <f>IF(NOT("https://maps.app.goo.gl/C8CZpFrFQDzqTPbB9" = ""), HYPERLINK("https://maps.app.goo.gl/C8CZpFrFQDzqTPbB9", "موقع"), "")</f>
        <v>موقع</v>
      </c>
    </row>
    <row r="269" spans="1:27" x14ac:dyDescent="0.3">
      <c r="A269" t="s">
        <v>1087</v>
      </c>
      <c r="B269" s="1">
        <v>46182.512789351851</v>
      </c>
      <c r="C269" t="s">
        <v>1</v>
      </c>
      <c r="D269" t="s">
        <v>54</v>
      </c>
      <c r="E269" t="s">
        <v>1090</v>
      </c>
      <c r="F269" t="s">
        <v>2316</v>
      </c>
      <c r="G269" t="s">
        <v>20</v>
      </c>
      <c r="H269" t="s">
        <v>828</v>
      </c>
      <c r="I269" t="s">
        <v>974</v>
      </c>
      <c r="J269" t="s">
        <v>1088</v>
      </c>
      <c r="K269" t="s">
        <v>1089</v>
      </c>
      <c r="L269">
        <v>122</v>
      </c>
      <c r="M269">
        <v>801</v>
      </c>
      <c r="N269">
        <v>48000</v>
      </c>
      <c r="O269">
        <v>32.002861000000003</v>
      </c>
      <c r="P269">
        <v>35.862250000000003</v>
      </c>
      <c r="Q269" t="s">
        <v>1091</v>
      </c>
      <c r="S269" t="s">
        <v>1776</v>
      </c>
      <c r="U269" t="s">
        <v>2317</v>
      </c>
      <c r="V269" t="s">
        <v>75</v>
      </c>
      <c r="W269" t="s">
        <v>1092</v>
      </c>
      <c r="Y269" t="str">
        <f t="shared" si="20"/>
        <v/>
      </c>
      <c r="Z269" t="str">
        <f t="shared" ref="Z269:Z277" si="21">IF(NOT("" = ""), HYPERLINK("", "جولة"), "")</f>
        <v/>
      </c>
      <c r="AA269" t="str">
        <f>IF(NOT("https://maps.app.goo.gl/JTxDjVi5xfoQLkK18" = ""), HYPERLINK("https://maps.app.goo.gl/JTxDjVi5xfoQLkK18", "موقع"), "")</f>
        <v>موقع</v>
      </c>
    </row>
    <row r="270" spans="1:27" x14ac:dyDescent="0.3">
      <c r="A270" t="s">
        <v>1093</v>
      </c>
      <c r="B270" s="1">
        <v>46182.512789351851</v>
      </c>
      <c r="C270" t="s">
        <v>1</v>
      </c>
      <c r="D270" t="s">
        <v>54</v>
      </c>
      <c r="E270" t="s">
        <v>990</v>
      </c>
      <c r="F270" t="s">
        <v>2318</v>
      </c>
      <c r="G270" t="s">
        <v>20</v>
      </c>
      <c r="H270" t="s">
        <v>828</v>
      </c>
      <c r="I270" t="s">
        <v>874</v>
      </c>
      <c r="J270" t="s">
        <v>988</v>
      </c>
      <c r="K270" t="s">
        <v>1027</v>
      </c>
      <c r="L270">
        <v>122</v>
      </c>
      <c r="M270">
        <v>2779</v>
      </c>
      <c r="N270">
        <v>48000</v>
      </c>
      <c r="O270">
        <v>31.992916999999998</v>
      </c>
      <c r="P270">
        <v>35.961500000000001</v>
      </c>
      <c r="Q270" t="s">
        <v>1071</v>
      </c>
      <c r="S270" t="s">
        <v>1776</v>
      </c>
      <c r="U270" t="s">
        <v>2305</v>
      </c>
      <c r="V270" t="s">
        <v>75</v>
      </c>
      <c r="W270" t="s">
        <v>1094</v>
      </c>
      <c r="Y270" t="str">
        <f t="shared" si="20"/>
        <v/>
      </c>
      <c r="Z270" t="str">
        <f t="shared" si="21"/>
        <v/>
      </c>
      <c r="AA270" t="str">
        <f>IF(NOT("https://maps.app.goo.gl/7EN8Zya1qa4zmhRH9" = ""), HYPERLINK("https://maps.app.goo.gl/7EN8Zya1qa4zmhRH9", "موقع"), "")</f>
        <v>موقع</v>
      </c>
    </row>
    <row r="271" spans="1:27" x14ac:dyDescent="0.3">
      <c r="A271" t="s">
        <v>1095</v>
      </c>
      <c r="B271" s="1">
        <v>46182.512789351851</v>
      </c>
      <c r="C271" t="s">
        <v>1</v>
      </c>
      <c r="D271" t="s">
        <v>54</v>
      </c>
      <c r="E271" t="s">
        <v>1098</v>
      </c>
      <c r="F271" t="s">
        <v>2319</v>
      </c>
      <c r="G271" t="s">
        <v>20</v>
      </c>
      <c r="H271" t="s">
        <v>828</v>
      </c>
      <c r="I271" t="s">
        <v>860</v>
      </c>
      <c r="J271" t="s">
        <v>1096</v>
      </c>
      <c r="K271" t="s">
        <v>1097</v>
      </c>
      <c r="L271">
        <v>105</v>
      </c>
      <c r="M271">
        <v>577</v>
      </c>
      <c r="N271">
        <v>48000</v>
      </c>
      <c r="Q271" t="s">
        <v>1052</v>
      </c>
      <c r="S271" t="s">
        <v>1776</v>
      </c>
      <c r="V271" t="s">
        <v>32</v>
      </c>
      <c r="W271" t="s">
        <v>1099</v>
      </c>
      <c r="Y271" t="str">
        <f t="shared" si="20"/>
        <v/>
      </c>
      <c r="Z271" t="str">
        <f t="shared" si="21"/>
        <v/>
      </c>
      <c r="AA271" t="str">
        <f>IF(NOT("" = ""), HYPERLINK("", "موقع"), "")</f>
        <v/>
      </c>
    </row>
    <row r="272" spans="1:27" x14ac:dyDescent="0.3">
      <c r="A272" t="s">
        <v>1100</v>
      </c>
      <c r="B272" s="1">
        <v>46182.512789351851</v>
      </c>
      <c r="C272" t="s">
        <v>1</v>
      </c>
      <c r="D272" t="s">
        <v>54</v>
      </c>
      <c r="E272" t="s">
        <v>877</v>
      </c>
      <c r="F272" t="s">
        <v>2320</v>
      </c>
      <c r="G272" t="s">
        <v>20</v>
      </c>
      <c r="H272" t="s">
        <v>828</v>
      </c>
      <c r="I272" t="s">
        <v>874</v>
      </c>
      <c r="J272" t="s">
        <v>875</v>
      </c>
      <c r="K272" t="s">
        <v>1101</v>
      </c>
      <c r="L272">
        <v>131</v>
      </c>
      <c r="M272">
        <v>2566</v>
      </c>
      <c r="N272">
        <v>48000</v>
      </c>
      <c r="Q272" t="s">
        <v>174</v>
      </c>
      <c r="S272" t="s">
        <v>1776</v>
      </c>
      <c r="V272" t="s">
        <v>50</v>
      </c>
      <c r="W272" t="s">
        <v>1102</v>
      </c>
      <c r="Y272" t="str">
        <f t="shared" si="20"/>
        <v/>
      </c>
      <c r="Z272" t="str">
        <f t="shared" si="21"/>
        <v/>
      </c>
      <c r="AA272" t="str">
        <f>IF(NOT("" = ""), HYPERLINK("", "موقع"), "")</f>
        <v/>
      </c>
    </row>
    <row r="273" spans="1:27" x14ac:dyDescent="0.3">
      <c r="A273" t="s">
        <v>1103</v>
      </c>
      <c r="B273" s="1">
        <v>46182.512789351851</v>
      </c>
      <c r="C273" t="s">
        <v>1</v>
      </c>
      <c r="D273" t="s">
        <v>54</v>
      </c>
      <c r="E273" t="s">
        <v>1021</v>
      </c>
      <c r="F273" t="s">
        <v>2321</v>
      </c>
      <c r="G273" t="s">
        <v>20</v>
      </c>
      <c r="H273" t="s">
        <v>828</v>
      </c>
      <c r="I273" t="s">
        <v>974</v>
      </c>
      <c r="J273" t="s">
        <v>1019</v>
      </c>
      <c r="K273" t="s">
        <v>1020</v>
      </c>
      <c r="L273">
        <v>131</v>
      </c>
      <c r="M273">
        <v>63</v>
      </c>
      <c r="N273">
        <v>49000</v>
      </c>
      <c r="O273">
        <v>32.060194000000003</v>
      </c>
      <c r="P273">
        <v>35.889000000000003</v>
      </c>
      <c r="Q273" t="s">
        <v>166</v>
      </c>
      <c r="S273" t="s">
        <v>1776</v>
      </c>
      <c r="U273" t="s">
        <v>2270</v>
      </c>
      <c r="V273" t="s">
        <v>50</v>
      </c>
      <c r="W273" t="s">
        <v>1104</v>
      </c>
      <c r="Y273" t="str">
        <f t="shared" si="20"/>
        <v/>
      </c>
      <c r="Z273" t="str">
        <f t="shared" si="21"/>
        <v/>
      </c>
      <c r="AA273" t="str">
        <f>IF(NOT("https://maps.app.goo.gl/boHCvhcK4sWuF6V77" = ""), HYPERLINK("https://maps.app.goo.gl/boHCvhcK4sWuF6V77", "موقع"), "")</f>
        <v>موقع</v>
      </c>
    </row>
    <row r="274" spans="1:27" x14ac:dyDescent="0.3">
      <c r="A274" t="s">
        <v>1105</v>
      </c>
      <c r="B274" s="1">
        <v>46182.512789351851</v>
      </c>
      <c r="C274" t="s">
        <v>1</v>
      </c>
      <c r="D274" t="s">
        <v>54</v>
      </c>
      <c r="E274" t="s">
        <v>877</v>
      </c>
      <c r="F274" t="s">
        <v>2322</v>
      </c>
      <c r="G274" t="s">
        <v>20</v>
      </c>
      <c r="H274" t="s">
        <v>828</v>
      </c>
      <c r="I274" t="s">
        <v>874</v>
      </c>
      <c r="J274" t="s">
        <v>875</v>
      </c>
      <c r="K274" t="s">
        <v>1101</v>
      </c>
      <c r="L274">
        <v>121</v>
      </c>
      <c r="M274">
        <v>2566</v>
      </c>
      <c r="N274">
        <v>49000</v>
      </c>
      <c r="Q274" t="s">
        <v>174</v>
      </c>
      <c r="S274" t="s">
        <v>1776</v>
      </c>
      <c r="V274" t="s">
        <v>75</v>
      </c>
      <c r="W274" t="s">
        <v>1106</v>
      </c>
      <c r="Y274" t="str">
        <f t="shared" si="20"/>
        <v/>
      </c>
      <c r="Z274" t="str">
        <f t="shared" si="21"/>
        <v/>
      </c>
      <c r="AA274" t="str">
        <f>IF(NOT("" = ""), HYPERLINK("", "موقع"), "")</f>
        <v/>
      </c>
    </row>
    <row r="275" spans="1:27" x14ac:dyDescent="0.3">
      <c r="A275" t="s">
        <v>1107</v>
      </c>
      <c r="B275" s="1">
        <v>46182.512789351851</v>
      </c>
      <c r="C275" t="s">
        <v>1</v>
      </c>
      <c r="D275" t="s">
        <v>54</v>
      </c>
      <c r="E275" t="s">
        <v>1110</v>
      </c>
      <c r="F275" t="s">
        <v>2323</v>
      </c>
      <c r="G275" t="s">
        <v>20</v>
      </c>
      <c r="H275" t="s">
        <v>828</v>
      </c>
      <c r="I275" t="s">
        <v>974</v>
      </c>
      <c r="J275" t="s">
        <v>1108</v>
      </c>
      <c r="K275" t="s">
        <v>1109</v>
      </c>
      <c r="L275">
        <v>123</v>
      </c>
      <c r="M275">
        <v>1010</v>
      </c>
      <c r="N275">
        <v>49000</v>
      </c>
      <c r="O275">
        <v>32.030082999999998</v>
      </c>
      <c r="P275">
        <v>35.822972</v>
      </c>
      <c r="Q275" t="s">
        <v>195</v>
      </c>
      <c r="S275" t="s">
        <v>1776</v>
      </c>
      <c r="U275" t="s">
        <v>2324</v>
      </c>
      <c r="V275" t="s">
        <v>75</v>
      </c>
      <c r="W275" t="s">
        <v>1111</v>
      </c>
      <c r="Y275" t="str">
        <f t="shared" si="20"/>
        <v/>
      </c>
      <c r="Z275" t="str">
        <f t="shared" si="21"/>
        <v/>
      </c>
      <c r="AA275" t="str">
        <f>IF(NOT("https://maps.app.goo.gl/Q4CPo1Jsu7wMYEP18" = ""), HYPERLINK("https://maps.app.goo.gl/Q4CPo1Jsu7wMYEP18", "موقع"), "")</f>
        <v>موقع</v>
      </c>
    </row>
    <row r="276" spans="1:27" x14ac:dyDescent="0.3">
      <c r="A276" t="s">
        <v>1112</v>
      </c>
      <c r="B276" s="1">
        <v>46182.512789351851</v>
      </c>
      <c r="C276" t="s">
        <v>1</v>
      </c>
      <c r="D276" t="s">
        <v>54</v>
      </c>
      <c r="E276" t="s">
        <v>997</v>
      </c>
      <c r="F276" t="s">
        <v>2325</v>
      </c>
      <c r="G276" t="s">
        <v>20</v>
      </c>
      <c r="H276" t="s">
        <v>828</v>
      </c>
      <c r="I276" t="s">
        <v>829</v>
      </c>
      <c r="J276" t="s">
        <v>830</v>
      </c>
      <c r="K276" t="s">
        <v>996</v>
      </c>
      <c r="L276">
        <v>132</v>
      </c>
      <c r="M276">
        <v>52</v>
      </c>
      <c r="N276">
        <v>49000</v>
      </c>
      <c r="O276">
        <v>31.918889</v>
      </c>
      <c r="P276">
        <v>35.884721999999996</v>
      </c>
      <c r="Q276" t="s">
        <v>155</v>
      </c>
      <c r="S276" t="s">
        <v>1776</v>
      </c>
      <c r="U276" t="s">
        <v>2326</v>
      </c>
      <c r="V276" t="s">
        <v>50</v>
      </c>
      <c r="W276" t="s">
        <v>1113</v>
      </c>
      <c r="Y276" t="str">
        <f t="shared" si="20"/>
        <v/>
      </c>
      <c r="Z276" t="str">
        <f t="shared" si="21"/>
        <v/>
      </c>
      <c r="AA276" t="str">
        <f>IF(NOT("https://maps.app.goo.gl/uXXBmmsY9qrxGAK68" = ""), HYPERLINK("https://maps.app.goo.gl/uXXBmmsY9qrxGAK68", "موقع"), "")</f>
        <v>موقع</v>
      </c>
    </row>
    <row r="277" spans="1:27" x14ac:dyDescent="0.3">
      <c r="A277" t="s">
        <v>1114</v>
      </c>
      <c r="B277" s="1">
        <v>46182.512789351851</v>
      </c>
      <c r="C277" t="s">
        <v>1</v>
      </c>
      <c r="D277" t="s">
        <v>54</v>
      </c>
      <c r="E277" t="s">
        <v>149</v>
      </c>
      <c r="F277" t="s">
        <v>2327</v>
      </c>
      <c r="G277" t="s">
        <v>20</v>
      </c>
      <c r="H277" t="s">
        <v>828</v>
      </c>
      <c r="I277" t="s">
        <v>974</v>
      </c>
      <c r="J277" t="s">
        <v>1088</v>
      </c>
      <c r="K277" t="s">
        <v>1115</v>
      </c>
      <c r="L277">
        <v>-101</v>
      </c>
      <c r="M277">
        <v>2141</v>
      </c>
      <c r="N277">
        <v>49000</v>
      </c>
      <c r="Q277" t="s">
        <v>1116</v>
      </c>
      <c r="S277" t="s">
        <v>1776</v>
      </c>
      <c r="V277" t="s">
        <v>41</v>
      </c>
      <c r="W277" t="s">
        <v>1117</v>
      </c>
      <c r="Y277" t="str">
        <f t="shared" si="20"/>
        <v/>
      </c>
      <c r="Z277" t="str">
        <f t="shared" si="21"/>
        <v/>
      </c>
      <c r="AA277" t="str">
        <f>IF(NOT("" = ""), HYPERLINK("", "موقع"), "")</f>
        <v/>
      </c>
    </row>
    <row r="278" spans="1:27" x14ac:dyDescent="0.3">
      <c r="A278" t="s">
        <v>1118</v>
      </c>
      <c r="B278" s="1">
        <v>46182.512789351851</v>
      </c>
      <c r="C278" t="s">
        <v>1</v>
      </c>
      <c r="D278" t="s">
        <v>54</v>
      </c>
      <c r="E278" t="s">
        <v>1119</v>
      </c>
      <c r="F278" t="s">
        <v>2328</v>
      </c>
      <c r="G278" t="s">
        <v>20</v>
      </c>
      <c r="H278" t="s">
        <v>828</v>
      </c>
      <c r="I278" t="s">
        <v>860</v>
      </c>
      <c r="J278" t="s">
        <v>861</v>
      </c>
      <c r="K278" t="s">
        <v>959</v>
      </c>
      <c r="L278">
        <v>111</v>
      </c>
      <c r="M278">
        <v>5339</v>
      </c>
      <c r="N278">
        <v>50000</v>
      </c>
      <c r="Q278" t="s">
        <v>233</v>
      </c>
      <c r="R278" t="s">
        <v>2329</v>
      </c>
      <c r="S278" t="s">
        <v>1828</v>
      </c>
      <c r="V278" t="s">
        <v>32</v>
      </c>
      <c r="W278" t="s">
        <v>1120</v>
      </c>
      <c r="Y278" t="str">
        <f t="shared" si="20"/>
        <v/>
      </c>
      <c r="Z278" t="str">
        <f>IF(NOT("https://truemarkets3d.net/3d-virtual-tour/housingbank-realestate/phase3/aq-re-100940/index.html" = ""), HYPERLINK("https://truemarkets3d.net/3d-virtual-tour/housingbank-realestate/phase3/aq-re-100940/index.html", "جولة"), "")</f>
        <v>جولة</v>
      </c>
      <c r="AA278" t="str">
        <f>IF(NOT("" = ""), HYPERLINK("", "موقع"), "")</f>
        <v/>
      </c>
    </row>
    <row r="279" spans="1:27" x14ac:dyDescent="0.3">
      <c r="A279" t="s">
        <v>1121</v>
      </c>
      <c r="B279" s="1">
        <v>46182.512789351851</v>
      </c>
      <c r="C279" t="s">
        <v>1</v>
      </c>
      <c r="D279" t="s">
        <v>54</v>
      </c>
      <c r="E279" t="s">
        <v>1125</v>
      </c>
      <c r="F279" t="s">
        <v>2330</v>
      </c>
      <c r="G279" t="s">
        <v>20</v>
      </c>
      <c r="H279" t="s">
        <v>828</v>
      </c>
      <c r="I279" t="s">
        <v>1122</v>
      </c>
      <c r="J279" t="s">
        <v>1123</v>
      </c>
      <c r="K279" t="s">
        <v>1124</v>
      </c>
      <c r="L279">
        <v>103</v>
      </c>
      <c r="M279">
        <v>434</v>
      </c>
      <c r="N279">
        <v>50000</v>
      </c>
      <c r="Q279" t="s">
        <v>62</v>
      </c>
      <c r="S279" t="s">
        <v>1776</v>
      </c>
      <c r="V279" t="s">
        <v>41</v>
      </c>
      <c r="W279" t="s">
        <v>1126</v>
      </c>
      <c r="Y279" t="str">
        <f t="shared" si="20"/>
        <v/>
      </c>
      <c r="Z279" t="str">
        <f t="shared" ref="Z279:Z284" si="22">IF(NOT("" = ""), HYPERLINK("", "جولة"), "")</f>
        <v/>
      </c>
      <c r="AA279" t="str">
        <f>IF(NOT("" = ""), HYPERLINK("", "موقع"), "")</f>
        <v/>
      </c>
    </row>
    <row r="280" spans="1:27" x14ac:dyDescent="0.3">
      <c r="A280" t="s">
        <v>1127</v>
      </c>
      <c r="B280" s="1">
        <v>46182.512789351851</v>
      </c>
      <c r="C280" t="s">
        <v>1</v>
      </c>
      <c r="D280" t="s">
        <v>54</v>
      </c>
      <c r="E280" t="s">
        <v>877</v>
      </c>
      <c r="F280" t="s">
        <v>2331</v>
      </c>
      <c r="G280" t="s">
        <v>20</v>
      </c>
      <c r="H280" t="s">
        <v>828</v>
      </c>
      <c r="I280" t="s">
        <v>874</v>
      </c>
      <c r="J280" t="s">
        <v>875</v>
      </c>
      <c r="K280" t="s">
        <v>1101</v>
      </c>
      <c r="L280">
        <v>111</v>
      </c>
      <c r="M280">
        <v>2566</v>
      </c>
      <c r="N280">
        <v>50000</v>
      </c>
      <c r="Q280" t="s">
        <v>174</v>
      </c>
      <c r="S280" t="s">
        <v>1776</v>
      </c>
      <c r="V280" t="s">
        <v>32</v>
      </c>
      <c r="W280" t="s">
        <v>1128</v>
      </c>
      <c r="Y280" t="str">
        <f t="shared" si="20"/>
        <v/>
      </c>
      <c r="Z280" t="str">
        <f t="shared" si="22"/>
        <v/>
      </c>
      <c r="AA280" t="str">
        <f>IF(NOT("" = ""), HYPERLINK("", "موقع"), "")</f>
        <v/>
      </c>
    </row>
    <row r="281" spans="1:27" x14ac:dyDescent="0.3">
      <c r="A281" t="s">
        <v>1129</v>
      </c>
      <c r="B281" s="1">
        <v>46182.512789351851</v>
      </c>
      <c r="C281" t="s">
        <v>1</v>
      </c>
      <c r="D281" t="s">
        <v>54</v>
      </c>
      <c r="E281" t="s">
        <v>1051</v>
      </c>
      <c r="F281" t="s">
        <v>2332</v>
      </c>
      <c r="G281" t="s">
        <v>20</v>
      </c>
      <c r="H281" t="s">
        <v>828</v>
      </c>
      <c r="I281" t="s">
        <v>974</v>
      </c>
      <c r="J281" t="s">
        <v>1108</v>
      </c>
      <c r="K281" t="s">
        <v>1130</v>
      </c>
      <c r="L281">
        <v>-101</v>
      </c>
      <c r="M281">
        <v>299</v>
      </c>
      <c r="N281">
        <v>50000</v>
      </c>
      <c r="O281">
        <v>32.027721999999997</v>
      </c>
      <c r="P281">
        <v>35.851917</v>
      </c>
      <c r="Q281" t="s">
        <v>1131</v>
      </c>
      <c r="S281" t="s">
        <v>1776</v>
      </c>
      <c r="U281" t="s">
        <v>2333</v>
      </c>
      <c r="V281" t="s">
        <v>41</v>
      </c>
      <c r="W281" t="s">
        <v>1132</v>
      </c>
      <c r="Y281" t="str">
        <f t="shared" si="20"/>
        <v/>
      </c>
      <c r="Z281" t="str">
        <f t="shared" si="22"/>
        <v/>
      </c>
      <c r="AA281" t="str">
        <f>IF(NOT("https://maps.app.goo.gl/JBx5mcD1pSNku9H87" = ""), HYPERLINK("https://maps.app.goo.gl/JBx5mcD1pSNku9H87", "موقع"), "")</f>
        <v>موقع</v>
      </c>
    </row>
    <row r="282" spans="1:27" x14ac:dyDescent="0.3">
      <c r="A282" t="s">
        <v>1133</v>
      </c>
      <c r="B282" s="1">
        <v>46182.512789351851</v>
      </c>
      <c r="C282" t="s">
        <v>1</v>
      </c>
      <c r="D282" t="s">
        <v>54</v>
      </c>
      <c r="E282" t="s">
        <v>997</v>
      </c>
      <c r="F282" t="s">
        <v>2334</v>
      </c>
      <c r="G282" t="s">
        <v>20</v>
      </c>
      <c r="H282" t="s">
        <v>828</v>
      </c>
      <c r="I282" t="s">
        <v>829</v>
      </c>
      <c r="J282" t="s">
        <v>830</v>
      </c>
      <c r="K282" t="s">
        <v>1134</v>
      </c>
      <c r="L282">
        <v>-101</v>
      </c>
      <c r="M282">
        <v>259</v>
      </c>
      <c r="N282">
        <v>51000</v>
      </c>
      <c r="Q282" t="s">
        <v>1135</v>
      </c>
      <c r="S282" t="s">
        <v>1776</v>
      </c>
      <c r="V282" t="s">
        <v>32</v>
      </c>
      <c r="W282" t="s">
        <v>1136</v>
      </c>
      <c r="Y282" t="str">
        <f t="shared" si="20"/>
        <v/>
      </c>
      <c r="Z282" t="str">
        <f t="shared" si="22"/>
        <v/>
      </c>
      <c r="AA282" t="str">
        <f>IF(NOT("" = ""), HYPERLINK("", "موقع"), "")</f>
        <v/>
      </c>
    </row>
    <row r="283" spans="1:27" x14ac:dyDescent="0.3">
      <c r="A283" t="s">
        <v>1137</v>
      </c>
      <c r="B283" s="1">
        <v>46182.512789351851</v>
      </c>
      <c r="C283" t="s">
        <v>1</v>
      </c>
      <c r="D283" t="s">
        <v>54</v>
      </c>
      <c r="E283" t="s">
        <v>1021</v>
      </c>
      <c r="F283" t="s">
        <v>2335</v>
      </c>
      <c r="G283" t="s">
        <v>20</v>
      </c>
      <c r="H283" t="s">
        <v>828</v>
      </c>
      <c r="I283" t="s">
        <v>974</v>
      </c>
      <c r="J283" t="s">
        <v>1019</v>
      </c>
      <c r="K283" t="s">
        <v>1020</v>
      </c>
      <c r="L283">
        <v>121</v>
      </c>
      <c r="M283">
        <v>63</v>
      </c>
      <c r="N283">
        <v>51000</v>
      </c>
      <c r="O283">
        <v>32.060194000000003</v>
      </c>
      <c r="P283">
        <v>35.889000000000003</v>
      </c>
      <c r="Q283" t="s">
        <v>166</v>
      </c>
      <c r="S283" t="s">
        <v>1776</v>
      </c>
      <c r="U283" t="s">
        <v>2270</v>
      </c>
      <c r="V283" t="s">
        <v>75</v>
      </c>
      <c r="W283" t="s">
        <v>1138</v>
      </c>
      <c r="Y283" t="str">
        <f t="shared" si="20"/>
        <v/>
      </c>
      <c r="Z283" t="str">
        <f t="shared" si="22"/>
        <v/>
      </c>
      <c r="AA283" t="str">
        <f>IF(NOT("https://maps.app.goo.gl/boHCvhcK4sWuF6V77" = ""), HYPERLINK("https://maps.app.goo.gl/boHCvhcK4sWuF6V77", "موقع"), "")</f>
        <v>موقع</v>
      </c>
    </row>
    <row r="284" spans="1:27" x14ac:dyDescent="0.3">
      <c r="A284" t="s">
        <v>1139</v>
      </c>
      <c r="B284" s="1">
        <v>46182.512789351851</v>
      </c>
      <c r="C284" t="s">
        <v>1</v>
      </c>
      <c r="D284" t="s">
        <v>54</v>
      </c>
      <c r="E284" t="s">
        <v>990</v>
      </c>
      <c r="F284" t="s">
        <v>2336</v>
      </c>
      <c r="G284" t="s">
        <v>20</v>
      </c>
      <c r="H284" t="s">
        <v>828</v>
      </c>
      <c r="I284" t="s">
        <v>874</v>
      </c>
      <c r="J284" t="s">
        <v>988</v>
      </c>
      <c r="K284" t="s">
        <v>1027</v>
      </c>
      <c r="L284">
        <v>124</v>
      </c>
      <c r="M284">
        <v>3022</v>
      </c>
      <c r="N284">
        <v>51000</v>
      </c>
      <c r="Q284" t="s">
        <v>155</v>
      </c>
      <c r="S284" t="s">
        <v>1776</v>
      </c>
      <c r="V284" t="s">
        <v>75</v>
      </c>
      <c r="W284" t="s">
        <v>1140</v>
      </c>
      <c r="Y284" t="str">
        <f t="shared" si="20"/>
        <v/>
      </c>
      <c r="Z284" t="str">
        <f t="shared" si="22"/>
        <v/>
      </c>
      <c r="AA284" t="str">
        <f>IF(NOT("" = ""), HYPERLINK("", "موقع"), "")</f>
        <v/>
      </c>
    </row>
    <row r="285" spans="1:27" x14ac:dyDescent="0.3">
      <c r="A285" t="s">
        <v>1141</v>
      </c>
      <c r="B285" s="1">
        <v>46182.512789351851</v>
      </c>
      <c r="C285" t="s">
        <v>1</v>
      </c>
      <c r="D285" t="s">
        <v>54</v>
      </c>
      <c r="E285" t="s">
        <v>990</v>
      </c>
      <c r="F285" t="s">
        <v>2337</v>
      </c>
      <c r="G285" t="s">
        <v>20</v>
      </c>
      <c r="H285" t="s">
        <v>828</v>
      </c>
      <c r="I285" t="s">
        <v>874</v>
      </c>
      <c r="J285" t="s">
        <v>988</v>
      </c>
      <c r="K285" t="s">
        <v>1027</v>
      </c>
      <c r="L285">
        <v>-111</v>
      </c>
      <c r="M285">
        <v>1179</v>
      </c>
      <c r="N285">
        <v>51000</v>
      </c>
      <c r="O285">
        <v>31.986360999999999</v>
      </c>
      <c r="P285">
        <v>35.964694000000001</v>
      </c>
      <c r="Q285" t="s">
        <v>1142</v>
      </c>
      <c r="R285" t="s">
        <v>2338</v>
      </c>
      <c r="S285" t="s">
        <v>1828</v>
      </c>
      <c r="U285" t="s">
        <v>2339</v>
      </c>
      <c r="V285" t="s">
        <v>27</v>
      </c>
      <c r="W285" t="s">
        <v>1143</v>
      </c>
      <c r="Y285" t="str">
        <f t="shared" si="20"/>
        <v/>
      </c>
      <c r="Z285" t="str">
        <f>IF(NOT("https://truemarkets3d.net/3d-virtual-tour/housingbank-realestate/phase3/aq-re-100549/index.html" = ""), HYPERLINK("https://truemarkets3d.net/3d-virtual-tour/housingbank-realestate/phase3/aq-re-100549/index.html", "جولة"), "")</f>
        <v>جولة</v>
      </c>
      <c r="AA285" t="str">
        <f>IF(NOT("https://maps.app.goo.gl/GUpiRafg5JQda89X7" = ""), HYPERLINK("https://maps.app.goo.gl/GUpiRafg5JQda89X7", "موقع"), "")</f>
        <v>موقع</v>
      </c>
    </row>
    <row r="286" spans="1:27" x14ac:dyDescent="0.3">
      <c r="A286" t="s">
        <v>1144</v>
      </c>
      <c r="B286" s="1">
        <v>46182.512789351851</v>
      </c>
      <c r="C286" t="s">
        <v>1</v>
      </c>
      <c r="D286" t="s">
        <v>54</v>
      </c>
      <c r="E286" t="s">
        <v>870</v>
      </c>
      <c r="F286" t="s">
        <v>2340</v>
      </c>
      <c r="G286" t="s">
        <v>20</v>
      </c>
      <c r="H286" t="s">
        <v>828</v>
      </c>
      <c r="I286" t="s">
        <v>860</v>
      </c>
      <c r="J286" t="s">
        <v>861</v>
      </c>
      <c r="K286" t="s">
        <v>1145</v>
      </c>
      <c r="L286">
        <v>131</v>
      </c>
      <c r="M286">
        <v>2080</v>
      </c>
      <c r="N286">
        <v>51000</v>
      </c>
      <c r="O286">
        <v>31.911943999999998</v>
      </c>
      <c r="P286">
        <v>35.952916999999999</v>
      </c>
      <c r="Q286" t="s">
        <v>155</v>
      </c>
      <c r="R286" t="s">
        <v>2341</v>
      </c>
      <c r="S286" t="s">
        <v>1828</v>
      </c>
      <c r="U286" t="s">
        <v>2342</v>
      </c>
      <c r="V286" t="s">
        <v>50</v>
      </c>
      <c r="W286" t="s">
        <v>1146</v>
      </c>
      <c r="Y286" t="str">
        <f t="shared" si="20"/>
        <v/>
      </c>
      <c r="Z286" t="str">
        <f>IF(NOT("https://truemarkets3d.net/3d-virtual-tour/housingbank-realestate/phase3/aq-re-100122/index.html" = ""), HYPERLINK("https://truemarkets3d.net/3d-virtual-tour/housingbank-realestate/phase3/aq-re-100122/index.html", "جولة"), "")</f>
        <v>جولة</v>
      </c>
      <c r="AA286" t="str">
        <f>IF(NOT("https://maps.app.goo.gl/oeW83VDAaD4bodJfA" = ""), HYPERLINK("https://maps.app.goo.gl/oeW83VDAaD4bodJfA", "موقع"), "")</f>
        <v>موقع</v>
      </c>
    </row>
    <row r="287" spans="1:27" x14ac:dyDescent="0.3">
      <c r="A287" t="s">
        <v>1147</v>
      </c>
      <c r="B287" s="1">
        <v>46182.512789351851</v>
      </c>
      <c r="C287" t="s">
        <v>1</v>
      </c>
      <c r="D287" t="s">
        <v>54</v>
      </c>
      <c r="E287" t="s">
        <v>1151</v>
      </c>
      <c r="F287" t="s">
        <v>2343</v>
      </c>
      <c r="G287" t="s">
        <v>20</v>
      </c>
      <c r="H287" t="s">
        <v>828</v>
      </c>
      <c r="I287" t="s">
        <v>1148</v>
      </c>
      <c r="J287" t="s">
        <v>1149</v>
      </c>
      <c r="K287" t="s">
        <v>1150</v>
      </c>
      <c r="L287">
        <v>132</v>
      </c>
      <c r="M287">
        <v>2025</v>
      </c>
      <c r="N287">
        <v>52000</v>
      </c>
      <c r="O287">
        <v>31.939222000000001</v>
      </c>
      <c r="P287">
        <v>35.829721999999997</v>
      </c>
      <c r="Q287" t="s">
        <v>1152</v>
      </c>
      <c r="R287" t="s">
        <v>2344</v>
      </c>
      <c r="S287" t="s">
        <v>1828</v>
      </c>
      <c r="U287" t="s">
        <v>2345</v>
      </c>
      <c r="V287" t="s">
        <v>50</v>
      </c>
      <c r="W287" t="s">
        <v>1153</v>
      </c>
      <c r="Y287" t="str">
        <f t="shared" si="20"/>
        <v/>
      </c>
      <c r="Z287" t="str">
        <f>IF(NOT("https://truemarkets3d.net/3d-virtual-tour/housingbank-realestate/phase3/aq-re-100039/index.html" = ""), HYPERLINK("https://truemarkets3d.net/3d-virtual-tour/housingbank-realestate/phase3/aq-re-100039/index.html", "جولة"), "")</f>
        <v>جولة</v>
      </c>
      <c r="AA287" t="str">
        <f>IF(NOT("https://maps.app.goo.gl/jENfBBd2m4vrtLZq9" = ""), HYPERLINK("https://maps.app.goo.gl/jENfBBd2m4vrtLZq9", "موقع"), "")</f>
        <v>موقع</v>
      </c>
    </row>
    <row r="288" spans="1:27" x14ac:dyDescent="0.3">
      <c r="A288" t="s">
        <v>1154</v>
      </c>
      <c r="B288" s="1">
        <v>46182.512789351851</v>
      </c>
      <c r="C288" t="s">
        <v>1</v>
      </c>
      <c r="D288" t="s">
        <v>54</v>
      </c>
      <c r="E288" t="s">
        <v>1155</v>
      </c>
      <c r="F288" t="s">
        <v>2346</v>
      </c>
      <c r="G288" t="s">
        <v>20</v>
      </c>
      <c r="H288" t="s">
        <v>828</v>
      </c>
      <c r="I288" t="s">
        <v>974</v>
      </c>
      <c r="J288" t="s">
        <v>1041</v>
      </c>
      <c r="K288" t="s">
        <v>1042</v>
      </c>
      <c r="L288">
        <v>-114</v>
      </c>
      <c r="M288">
        <v>279</v>
      </c>
      <c r="N288">
        <v>52000</v>
      </c>
      <c r="Q288" t="s">
        <v>1156</v>
      </c>
      <c r="S288" t="s">
        <v>1776</v>
      </c>
      <c r="V288" t="s">
        <v>75</v>
      </c>
      <c r="W288" t="s">
        <v>1157</v>
      </c>
      <c r="Y288" t="str">
        <f t="shared" si="20"/>
        <v/>
      </c>
      <c r="Z288" t="str">
        <f>IF(NOT("" = ""), HYPERLINK("", "جولة"), "")</f>
        <v/>
      </c>
      <c r="AA288" t="str">
        <f>IF(NOT("" = ""), HYPERLINK("", "موقع"), "")</f>
        <v/>
      </c>
    </row>
    <row r="289" spans="1:27" x14ac:dyDescent="0.3">
      <c r="A289" t="s">
        <v>1158</v>
      </c>
      <c r="B289" s="1">
        <v>46182.512789351851</v>
      </c>
      <c r="C289" t="s">
        <v>1</v>
      </c>
      <c r="D289" t="s">
        <v>54</v>
      </c>
      <c r="E289" t="s">
        <v>940</v>
      </c>
      <c r="F289" t="s">
        <v>2347</v>
      </c>
      <c r="G289" t="s">
        <v>20</v>
      </c>
      <c r="H289" t="s">
        <v>828</v>
      </c>
      <c r="I289" t="s">
        <v>829</v>
      </c>
      <c r="J289" t="s">
        <v>830</v>
      </c>
      <c r="K289" t="s">
        <v>939</v>
      </c>
      <c r="L289">
        <v>-111</v>
      </c>
      <c r="M289">
        <v>602</v>
      </c>
      <c r="N289">
        <v>52000</v>
      </c>
      <c r="O289">
        <v>31.936278000000001</v>
      </c>
      <c r="P289">
        <v>35.908360999999999</v>
      </c>
      <c r="Q289" t="s">
        <v>1159</v>
      </c>
      <c r="S289" t="s">
        <v>1776</v>
      </c>
      <c r="U289" t="s">
        <v>2348</v>
      </c>
      <c r="V289" t="s">
        <v>27</v>
      </c>
      <c r="W289" t="s">
        <v>1160</v>
      </c>
      <c r="Y289" t="str">
        <f t="shared" si="20"/>
        <v/>
      </c>
      <c r="Z289" t="str">
        <f>IF(NOT("" = ""), HYPERLINK("", "جولة"), "")</f>
        <v/>
      </c>
      <c r="AA289" t="str">
        <f>IF(NOT("https://maps.app.goo.gl/Pdg7Tbzp3q1vqj3y8" = ""), HYPERLINK("https://maps.app.goo.gl/Pdg7Tbzp3q1vqj3y8", "موقع"), "")</f>
        <v>موقع</v>
      </c>
    </row>
    <row r="290" spans="1:27" x14ac:dyDescent="0.3">
      <c r="A290" t="s">
        <v>1161</v>
      </c>
      <c r="B290" s="1">
        <v>46182.512789351851</v>
      </c>
      <c r="C290" t="s">
        <v>1</v>
      </c>
      <c r="D290" t="s">
        <v>54</v>
      </c>
      <c r="E290" t="s">
        <v>877</v>
      </c>
      <c r="F290" t="s">
        <v>2349</v>
      </c>
      <c r="G290" t="s">
        <v>20</v>
      </c>
      <c r="H290" t="s">
        <v>828</v>
      </c>
      <c r="I290" t="s">
        <v>874</v>
      </c>
      <c r="J290" t="s">
        <v>875</v>
      </c>
      <c r="K290" t="s">
        <v>1101</v>
      </c>
      <c r="L290">
        <v>101</v>
      </c>
      <c r="M290">
        <v>2566</v>
      </c>
      <c r="N290">
        <v>53000</v>
      </c>
      <c r="Q290" t="s">
        <v>174</v>
      </c>
      <c r="S290" t="s">
        <v>1776</v>
      </c>
      <c r="V290" t="s">
        <v>41</v>
      </c>
      <c r="W290" t="s">
        <v>1162</v>
      </c>
      <c r="Y290" t="str">
        <f t="shared" si="20"/>
        <v/>
      </c>
      <c r="Z290" t="str">
        <f>IF(NOT("" = ""), HYPERLINK("", "جولة"), "")</f>
        <v/>
      </c>
      <c r="AA290" t="str">
        <f>IF(NOT("" = ""), HYPERLINK("", "موقع"), "")</f>
        <v/>
      </c>
    </row>
    <row r="291" spans="1:27" x14ac:dyDescent="0.3">
      <c r="A291" t="s">
        <v>1163</v>
      </c>
      <c r="B291" s="1">
        <v>46182.512789351851</v>
      </c>
      <c r="C291" t="s">
        <v>1</v>
      </c>
      <c r="D291" t="s">
        <v>54</v>
      </c>
      <c r="E291" t="s">
        <v>870</v>
      </c>
      <c r="F291" t="s">
        <v>2350</v>
      </c>
      <c r="G291" t="s">
        <v>20</v>
      </c>
      <c r="H291" t="s">
        <v>828</v>
      </c>
      <c r="I291" t="s">
        <v>860</v>
      </c>
      <c r="J291" t="s">
        <v>861</v>
      </c>
      <c r="K291" t="s">
        <v>1145</v>
      </c>
      <c r="L291">
        <v>132</v>
      </c>
      <c r="M291">
        <v>2080</v>
      </c>
      <c r="N291">
        <v>53000</v>
      </c>
      <c r="O291">
        <v>31.911943999999998</v>
      </c>
      <c r="P291">
        <v>35.952916999999999</v>
      </c>
      <c r="Q291" t="s">
        <v>155</v>
      </c>
      <c r="R291" t="s">
        <v>2351</v>
      </c>
      <c r="S291" t="s">
        <v>1828</v>
      </c>
      <c r="U291" t="s">
        <v>2352</v>
      </c>
      <c r="V291" t="s">
        <v>50</v>
      </c>
      <c r="W291" t="s">
        <v>1164</v>
      </c>
      <c r="Y291" t="str">
        <f t="shared" si="20"/>
        <v/>
      </c>
      <c r="Z291" t="str">
        <f>IF(NOT("https://truemarkets3d.net/3d-virtual-tour/housingbank-realestate/phase3/aq-re-100123/index.html" = ""), HYPERLINK("https://truemarkets3d.net/3d-virtual-tour/housingbank-realestate/phase3/aq-re-100123/index.html", "جولة"), "")</f>
        <v>جولة</v>
      </c>
      <c r="AA291" t="str">
        <f>IF(NOT("https://maps.app.goo.gl/85dFTm6w5eh5cFpeA" = ""), HYPERLINK("https://maps.app.goo.gl/85dFTm6w5eh5cFpeA", "موقع"), "")</f>
        <v>موقع</v>
      </c>
    </row>
    <row r="292" spans="1:27" x14ac:dyDescent="0.3">
      <c r="A292" t="s">
        <v>1165</v>
      </c>
      <c r="B292" s="1">
        <v>46182.512789351851</v>
      </c>
      <c r="C292" t="s">
        <v>1</v>
      </c>
      <c r="D292" t="s">
        <v>54</v>
      </c>
      <c r="E292" t="s">
        <v>990</v>
      </c>
      <c r="F292" t="s">
        <v>2353</v>
      </c>
      <c r="G292" t="s">
        <v>20</v>
      </c>
      <c r="H292" t="s">
        <v>828</v>
      </c>
      <c r="I292" t="s">
        <v>874</v>
      </c>
      <c r="J292" t="s">
        <v>988</v>
      </c>
      <c r="K292" t="s">
        <v>1046</v>
      </c>
      <c r="L292">
        <v>112</v>
      </c>
      <c r="M292">
        <v>2860</v>
      </c>
      <c r="N292">
        <v>53000</v>
      </c>
      <c r="O292">
        <v>32.009749999999997</v>
      </c>
      <c r="P292">
        <v>35.953167000000001</v>
      </c>
      <c r="Q292" t="s">
        <v>1166</v>
      </c>
      <c r="S292" t="s">
        <v>1776</v>
      </c>
      <c r="U292" t="s">
        <v>2354</v>
      </c>
      <c r="V292" t="s">
        <v>32</v>
      </c>
      <c r="W292" t="s">
        <v>1167</v>
      </c>
      <c r="Y292" t="str">
        <f t="shared" si="20"/>
        <v/>
      </c>
      <c r="Z292" t="str">
        <f>IF(NOT("" = ""), HYPERLINK("", "جولة"), "")</f>
        <v/>
      </c>
      <c r="AA292" t="str">
        <f>IF(NOT("https://maps.app.goo.gl/avm15mhnaw4qyuLg6" = ""), HYPERLINK("https://maps.app.goo.gl/avm15mhnaw4qyuLg6", "موقع"), "")</f>
        <v>موقع</v>
      </c>
    </row>
    <row r="293" spans="1:27" x14ac:dyDescent="0.3">
      <c r="A293" t="s">
        <v>1168</v>
      </c>
      <c r="B293" s="1">
        <v>46182.512789351851</v>
      </c>
      <c r="C293" t="s">
        <v>1</v>
      </c>
      <c r="D293" t="s">
        <v>54</v>
      </c>
      <c r="E293" t="s">
        <v>1021</v>
      </c>
      <c r="F293" t="s">
        <v>2355</v>
      </c>
      <c r="G293" t="s">
        <v>20</v>
      </c>
      <c r="H293" t="s">
        <v>828</v>
      </c>
      <c r="I293" t="s">
        <v>974</v>
      </c>
      <c r="J293" t="s">
        <v>1019</v>
      </c>
      <c r="K293" t="s">
        <v>1020</v>
      </c>
      <c r="L293">
        <v>101</v>
      </c>
      <c r="M293">
        <v>63</v>
      </c>
      <c r="N293">
        <v>54000</v>
      </c>
      <c r="O293">
        <v>32.060194000000003</v>
      </c>
      <c r="P293">
        <v>35.889000000000003</v>
      </c>
      <c r="Q293" t="s">
        <v>166</v>
      </c>
      <c r="S293" t="s">
        <v>1776</v>
      </c>
      <c r="U293" t="s">
        <v>2270</v>
      </c>
      <c r="V293" t="s">
        <v>41</v>
      </c>
      <c r="W293" t="s">
        <v>1169</v>
      </c>
      <c r="Y293" t="str">
        <f t="shared" ref="Y293:Y313" si="23">IF(NOT("" = ""), HYPERLINK("", "فيديو"), "")</f>
        <v/>
      </c>
      <c r="Z293" t="str">
        <f>IF(NOT("" = ""), HYPERLINK("", "جولة"), "")</f>
        <v/>
      </c>
      <c r="AA293" t="str">
        <f>IF(NOT("https://maps.app.goo.gl/boHCvhcK4sWuF6V77" = ""), HYPERLINK("https://maps.app.goo.gl/boHCvhcK4sWuF6V77", "موقع"), "")</f>
        <v>موقع</v>
      </c>
    </row>
    <row r="294" spans="1:27" x14ac:dyDescent="0.3">
      <c r="A294" t="s">
        <v>1170</v>
      </c>
      <c r="B294" s="1">
        <v>46182.512789351851</v>
      </c>
      <c r="C294" t="s">
        <v>1</v>
      </c>
      <c r="D294" t="s">
        <v>54</v>
      </c>
      <c r="E294" t="s">
        <v>990</v>
      </c>
      <c r="F294" t="s">
        <v>2356</v>
      </c>
      <c r="G294" t="s">
        <v>20</v>
      </c>
      <c r="H294" t="s">
        <v>828</v>
      </c>
      <c r="I294" t="s">
        <v>874</v>
      </c>
      <c r="J294" t="s">
        <v>988</v>
      </c>
      <c r="K294" t="s">
        <v>1046</v>
      </c>
      <c r="L294">
        <v>113</v>
      </c>
      <c r="M294">
        <v>1028</v>
      </c>
      <c r="N294">
        <v>54000</v>
      </c>
      <c r="O294">
        <v>31.994638999999999</v>
      </c>
      <c r="P294">
        <v>35.936667</v>
      </c>
      <c r="Q294" t="s">
        <v>236</v>
      </c>
      <c r="R294" t="s">
        <v>2357</v>
      </c>
      <c r="S294" t="s">
        <v>1828</v>
      </c>
      <c r="U294" t="s">
        <v>2358</v>
      </c>
      <c r="V294" t="s">
        <v>32</v>
      </c>
      <c r="W294" t="s">
        <v>1171</v>
      </c>
      <c r="Y294" t="str">
        <f t="shared" si="23"/>
        <v/>
      </c>
      <c r="Z294" t="str">
        <f>IF(NOT("https://truemarkets3d.net/3d-virtual-tour/housingbank-realestate/phase3/aq-re-100115/index.html" = ""), HYPERLINK("https://truemarkets3d.net/3d-virtual-tour/housingbank-realestate/phase3/aq-re-100115/index.html", "جولة"), "")</f>
        <v>جولة</v>
      </c>
      <c r="AA294" t="str">
        <f>IF(NOT("https://maps.app.goo.gl/RJdWCLyv6pwXDKhq8" = ""), HYPERLINK("https://maps.app.goo.gl/RJdWCLyv6pwXDKhq8", "موقع"), "")</f>
        <v>موقع</v>
      </c>
    </row>
    <row r="295" spans="1:27" x14ac:dyDescent="0.3">
      <c r="A295" t="s">
        <v>1172</v>
      </c>
      <c r="B295" s="1">
        <v>46182.512789351851</v>
      </c>
      <c r="C295" t="s">
        <v>1</v>
      </c>
      <c r="D295" t="s">
        <v>54</v>
      </c>
      <c r="E295" t="s">
        <v>1021</v>
      </c>
      <c r="F295" t="s">
        <v>2359</v>
      </c>
      <c r="G295" t="s">
        <v>20</v>
      </c>
      <c r="H295" t="s">
        <v>828</v>
      </c>
      <c r="I295" t="s">
        <v>974</v>
      </c>
      <c r="J295" t="s">
        <v>1019</v>
      </c>
      <c r="K295" t="s">
        <v>1020</v>
      </c>
      <c r="L295">
        <v>111</v>
      </c>
      <c r="M295">
        <v>63</v>
      </c>
      <c r="N295">
        <v>54000</v>
      </c>
      <c r="O295">
        <v>32.060194000000003</v>
      </c>
      <c r="P295">
        <v>35.889000000000003</v>
      </c>
      <c r="Q295" t="s">
        <v>166</v>
      </c>
      <c r="S295" t="s">
        <v>1776</v>
      </c>
      <c r="U295" t="s">
        <v>2270</v>
      </c>
      <c r="V295" t="s">
        <v>32</v>
      </c>
      <c r="W295" t="s">
        <v>1173</v>
      </c>
      <c r="Y295" t="str">
        <f t="shared" si="23"/>
        <v/>
      </c>
      <c r="Z295" t="str">
        <f t="shared" ref="Z295:Z305" si="24">IF(NOT("" = ""), HYPERLINK("", "جولة"), "")</f>
        <v/>
      </c>
      <c r="AA295" t="str">
        <f>IF(NOT("https://maps.app.goo.gl/boHCvhcK4sWuF6V77" = ""), HYPERLINK("https://maps.app.goo.gl/boHCvhcK4sWuF6V77", "موقع"), "")</f>
        <v>موقع</v>
      </c>
    </row>
    <row r="296" spans="1:27" x14ac:dyDescent="0.3">
      <c r="A296" t="s">
        <v>1174</v>
      </c>
      <c r="B296" s="1">
        <v>46182.512789351851</v>
      </c>
      <c r="C296" t="s">
        <v>1</v>
      </c>
      <c r="D296" t="s">
        <v>54</v>
      </c>
      <c r="E296" t="s">
        <v>870</v>
      </c>
      <c r="F296" t="s">
        <v>2349</v>
      </c>
      <c r="G296" t="s">
        <v>20</v>
      </c>
      <c r="H296" t="s">
        <v>828</v>
      </c>
      <c r="I296" t="s">
        <v>860</v>
      </c>
      <c r="J296" t="s">
        <v>861</v>
      </c>
      <c r="K296" t="s">
        <v>862</v>
      </c>
      <c r="L296">
        <v>101</v>
      </c>
      <c r="M296">
        <v>1532</v>
      </c>
      <c r="N296">
        <v>56000</v>
      </c>
      <c r="Q296" t="s">
        <v>1175</v>
      </c>
      <c r="S296" t="s">
        <v>1776</v>
      </c>
      <c r="V296" t="s">
        <v>41</v>
      </c>
      <c r="W296" t="s">
        <v>1176</v>
      </c>
      <c r="Y296" t="str">
        <f t="shared" si="23"/>
        <v/>
      </c>
      <c r="Z296" t="str">
        <f t="shared" si="24"/>
        <v/>
      </c>
      <c r="AA296" t="str">
        <f>IF(NOT("" = ""), HYPERLINK("", "موقع"), "")</f>
        <v/>
      </c>
    </row>
    <row r="297" spans="1:27" x14ac:dyDescent="0.3">
      <c r="A297" t="s">
        <v>1177</v>
      </c>
      <c r="B297" s="1">
        <v>46182.512789351851</v>
      </c>
      <c r="C297" t="s">
        <v>1</v>
      </c>
      <c r="D297" t="s">
        <v>54</v>
      </c>
      <c r="E297" t="s">
        <v>940</v>
      </c>
      <c r="F297" t="s">
        <v>2360</v>
      </c>
      <c r="G297" t="s">
        <v>20</v>
      </c>
      <c r="H297" t="s">
        <v>828</v>
      </c>
      <c r="I297" t="s">
        <v>829</v>
      </c>
      <c r="J297" t="s">
        <v>830</v>
      </c>
      <c r="K297" t="s">
        <v>939</v>
      </c>
      <c r="L297">
        <v>-121</v>
      </c>
      <c r="M297">
        <v>602</v>
      </c>
      <c r="N297">
        <v>57000</v>
      </c>
      <c r="O297">
        <v>31.936278000000001</v>
      </c>
      <c r="P297">
        <v>35.908360999999999</v>
      </c>
      <c r="Q297" t="s">
        <v>1159</v>
      </c>
      <c r="S297" t="s">
        <v>1776</v>
      </c>
      <c r="U297" t="s">
        <v>2348</v>
      </c>
      <c r="V297" t="s">
        <v>451</v>
      </c>
      <c r="W297" t="s">
        <v>1160</v>
      </c>
      <c r="Y297" t="str">
        <f t="shared" si="23"/>
        <v/>
      </c>
      <c r="Z297" t="str">
        <f t="shared" si="24"/>
        <v/>
      </c>
      <c r="AA297" t="str">
        <f>IF(NOT("https://maps.app.goo.gl/Pdg7Tbzp3q1vqj3y8" = ""), HYPERLINK("https://maps.app.goo.gl/Pdg7Tbzp3q1vqj3y8", "موقع"), "")</f>
        <v>موقع</v>
      </c>
    </row>
    <row r="298" spans="1:27" x14ac:dyDescent="0.3">
      <c r="A298" t="s">
        <v>1178</v>
      </c>
      <c r="B298" s="1">
        <v>46182.512789351851</v>
      </c>
      <c r="C298" t="s">
        <v>1</v>
      </c>
      <c r="D298" t="s">
        <v>54</v>
      </c>
      <c r="E298" t="s">
        <v>990</v>
      </c>
      <c r="F298" t="s">
        <v>2361</v>
      </c>
      <c r="G298" t="s">
        <v>20</v>
      </c>
      <c r="H298" t="s">
        <v>828</v>
      </c>
      <c r="I298" t="s">
        <v>874</v>
      </c>
      <c r="J298" t="s">
        <v>887</v>
      </c>
      <c r="K298" t="s">
        <v>1031</v>
      </c>
      <c r="L298">
        <v>121</v>
      </c>
      <c r="M298">
        <v>835</v>
      </c>
      <c r="N298">
        <v>57000</v>
      </c>
      <c r="Q298" t="s">
        <v>1152</v>
      </c>
      <c r="S298" t="s">
        <v>1776</v>
      </c>
      <c r="V298" t="s">
        <v>75</v>
      </c>
      <c r="W298" t="s">
        <v>1179</v>
      </c>
      <c r="Y298" t="str">
        <f t="shared" si="23"/>
        <v/>
      </c>
      <c r="Z298" t="str">
        <f t="shared" si="24"/>
        <v/>
      </c>
      <c r="AA298" t="str">
        <f>IF(NOT("" = ""), HYPERLINK("", "موقع"), "")</f>
        <v/>
      </c>
    </row>
    <row r="299" spans="1:27" x14ac:dyDescent="0.3">
      <c r="A299" t="s">
        <v>1180</v>
      </c>
      <c r="B299" s="1">
        <v>46182.512789351851</v>
      </c>
      <c r="C299" t="s">
        <v>1</v>
      </c>
      <c r="D299" t="s">
        <v>54</v>
      </c>
      <c r="E299" t="s">
        <v>1021</v>
      </c>
      <c r="F299" t="s">
        <v>2362</v>
      </c>
      <c r="G299" t="s">
        <v>20</v>
      </c>
      <c r="H299" t="s">
        <v>828</v>
      </c>
      <c r="I299" t="s">
        <v>974</v>
      </c>
      <c r="J299" t="s">
        <v>1019</v>
      </c>
      <c r="K299" t="s">
        <v>1020</v>
      </c>
      <c r="L299">
        <v>-111</v>
      </c>
      <c r="M299">
        <v>63</v>
      </c>
      <c r="N299">
        <v>59000</v>
      </c>
      <c r="O299">
        <v>32.060194000000003</v>
      </c>
      <c r="P299">
        <v>35.889000000000003</v>
      </c>
      <c r="Q299" t="s">
        <v>166</v>
      </c>
      <c r="S299" t="s">
        <v>1776</v>
      </c>
      <c r="U299" t="s">
        <v>2270</v>
      </c>
      <c r="V299" t="s">
        <v>27</v>
      </c>
      <c r="W299" t="s">
        <v>1181</v>
      </c>
      <c r="Y299" t="str">
        <f t="shared" si="23"/>
        <v/>
      </c>
      <c r="Z299" t="str">
        <f t="shared" si="24"/>
        <v/>
      </c>
      <c r="AA299" t="str">
        <f>IF(NOT("https://maps.app.goo.gl/boHCvhcK4sWuF6V77" = ""), HYPERLINK("https://maps.app.goo.gl/boHCvhcK4sWuF6V77", "موقع"), "")</f>
        <v>موقع</v>
      </c>
    </row>
    <row r="300" spans="1:27" x14ac:dyDescent="0.3">
      <c r="A300" t="s">
        <v>1182</v>
      </c>
      <c r="B300" s="1">
        <v>46182.512789351851</v>
      </c>
      <c r="C300" t="s">
        <v>1</v>
      </c>
      <c r="D300" t="s">
        <v>54</v>
      </c>
      <c r="E300" t="s">
        <v>1185</v>
      </c>
      <c r="F300" t="s">
        <v>2363</v>
      </c>
      <c r="G300" t="s">
        <v>20</v>
      </c>
      <c r="H300" t="s">
        <v>828</v>
      </c>
      <c r="I300" t="s">
        <v>860</v>
      </c>
      <c r="J300" t="s">
        <v>1183</v>
      </c>
      <c r="K300" t="s">
        <v>1184</v>
      </c>
      <c r="L300">
        <v>121</v>
      </c>
      <c r="M300">
        <v>1207</v>
      </c>
      <c r="N300">
        <v>59000</v>
      </c>
      <c r="Q300" t="s">
        <v>121</v>
      </c>
      <c r="S300" t="s">
        <v>1776</v>
      </c>
      <c r="V300" t="s">
        <v>75</v>
      </c>
      <c r="W300" t="s">
        <v>1186</v>
      </c>
      <c r="Y300" t="str">
        <f t="shared" si="23"/>
        <v/>
      </c>
      <c r="Z300" t="str">
        <f t="shared" si="24"/>
        <v/>
      </c>
      <c r="AA300" t="str">
        <f>IF(NOT("" = ""), HYPERLINK("", "موقع"), "")</f>
        <v/>
      </c>
    </row>
    <row r="301" spans="1:27" x14ac:dyDescent="0.3">
      <c r="A301" t="s">
        <v>1187</v>
      </c>
      <c r="B301" s="1">
        <v>46182.512789351851</v>
      </c>
      <c r="C301" t="s">
        <v>1</v>
      </c>
      <c r="D301" t="s">
        <v>54</v>
      </c>
      <c r="E301" t="s">
        <v>990</v>
      </c>
      <c r="F301" t="s">
        <v>2364</v>
      </c>
      <c r="G301" t="s">
        <v>20</v>
      </c>
      <c r="H301" t="s">
        <v>828</v>
      </c>
      <c r="I301" t="s">
        <v>874</v>
      </c>
      <c r="J301" t="s">
        <v>988</v>
      </c>
      <c r="K301" t="s">
        <v>1046</v>
      </c>
      <c r="L301">
        <v>102</v>
      </c>
      <c r="M301">
        <v>2860</v>
      </c>
      <c r="N301">
        <v>61000</v>
      </c>
      <c r="O301">
        <v>32.009749999999997</v>
      </c>
      <c r="P301">
        <v>35.953167000000001</v>
      </c>
      <c r="Q301" t="s">
        <v>1166</v>
      </c>
      <c r="S301" t="s">
        <v>1776</v>
      </c>
      <c r="U301" t="s">
        <v>2354</v>
      </c>
      <c r="V301" t="s">
        <v>41</v>
      </c>
      <c r="W301" t="s">
        <v>1188</v>
      </c>
      <c r="Y301" t="str">
        <f t="shared" si="23"/>
        <v/>
      </c>
      <c r="Z301" t="str">
        <f t="shared" si="24"/>
        <v/>
      </c>
      <c r="AA301" t="str">
        <f>IF(NOT("https://maps.app.goo.gl/avm15mhnaw4qyuLg6" = ""), HYPERLINK("https://maps.app.goo.gl/avm15mhnaw4qyuLg6", "موقع"), "")</f>
        <v>موقع</v>
      </c>
    </row>
    <row r="302" spans="1:27" x14ac:dyDescent="0.3">
      <c r="A302" t="s">
        <v>1189</v>
      </c>
      <c r="B302" s="1">
        <v>46182.512789351851</v>
      </c>
      <c r="C302" t="s">
        <v>1</v>
      </c>
      <c r="D302" t="s">
        <v>54</v>
      </c>
      <c r="E302" t="s">
        <v>940</v>
      </c>
      <c r="F302" t="s">
        <v>2365</v>
      </c>
      <c r="G302" t="s">
        <v>20</v>
      </c>
      <c r="H302" t="s">
        <v>828</v>
      </c>
      <c r="I302" t="s">
        <v>829</v>
      </c>
      <c r="J302" t="s">
        <v>830</v>
      </c>
      <c r="K302" t="s">
        <v>939</v>
      </c>
      <c r="L302">
        <v>101</v>
      </c>
      <c r="M302">
        <v>602</v>
      </c>
      <c r="N302">
        <v>61000</v>
      </c>
      <c r="O302">
        <v>31.936278000000001</v>
      </c>
      <c r="P302">
        <v>35.908360999999999</v>
      </c>
      <c r="Q302" t="s">
        <v>1159</v>
      </c>
      <c r="S302" t="s">
        <v>1776</v>
      </c>
      <c r="U302" t="s">
        <v>2348</v>
      </c>
      <c r="V302" t="s">
        <v>41</v>
      </c>
      <c r="W302" t="s">
        <v>1190</v>
      </c>
      <c r="Y302" t="str">
        <f t="shared" si="23"/>
        <v/>
      </c>
      <c r="Z302" t="str">
        <f t="shared" si="24"/>
        <v/>
      </c>
      <c r="AA302" t="str">
        <f>IF(NOT("https://maps.app.goo.gl/Pdg7Tbzp3q1vqj3y8" = ""), HYPERLINK("https://maps.app.goo.gl/Pdg7Tbzp3q1vqj3y8", "موقع"), "")</f>
        <v>موقع</v>
      </c>
    </row>
    <row r="303" spans="1:27" x14ac:dyDescent="0.3">
      <c r="A303" t="s">
        <v>1191</v>
      </c>
      <c r="B303" s="1">
        <v>46182.512789351851</v>
      </c>
      <c r="C303" t="s">
        <v>1</v>
      </c>
      <c r="D303" t="s">
        <v>54</v>
      </c>
      <c r="E303" t="s">
        <v>1194</v>
      </c>
      <c r="F303" t="s">
        <v>2366</v>
      </c>
      <c r="G303" t="s">
        <v>20</v>
      </c>
      <c r="H303" t="s">
        <v>828</v>
      </c>
      <c r="I303" t="s">
        <v>974</v>
      </c>
      <c r="J303" t="s">
        <v>1192</v>
      </c>
      <c r="K303" t="s">
        <v>1193</v>
      </c>
      <c r="L303">
        <v>101</v>
      </c>
      <c r="M303">
        <v>451</v>
      </c>
      <c r="N303">
        <v>63000</v>
      </c>
      <c r="O303">
        <v>32.050361000000002</v>
      </c>
      <c r="P303">
        <v>35.889833000000003</v>
      </c>
      <c r="Q303" t="s">
        <v>1071</v>
      </c>
      <c r="S303" t="s">
        <v>1776</v>
      </c>
      <c r="U303" t="s">
        <v>2367</v>
      </c>
      <c r="V303" t="s">
        <v>41</v>
      </c>
      <c r="W303" t="s">
        <v>1195</v>
      </c>
      <c r="Y303" t="str">
        <f t="shared" si="23"/>
        <v/>
      </c>
      <c r="Z303" t="str">
        <f t="shared" si="24"/>
        <v/>
      </c>
      <c r="AA303" t="str">
        <f>IF(NOT("https://maps.app.goo.gl/mFnjNEXHi6AX1uGB8" = ""), HYPERLINK("https://maps.app.goo.gl/mFnjNEXHi6AX1uGB8", "موقع"), "")</f>
        <v>موقع</v>
      </c>
    </row>
    <row r="304" spans="1:27" x14ac:dyDescent="0.3">
      <c r="A304" t="s">
        <v>1196</v>
      </c>
      <c r="B304" s="1">
        <v>46182.512789351851</v>
      </c>
      <c r="C304" t="s">
        <v>1</v>
      </c>
      <c r="D304" t="s">
        <v>54</v>
      </c>
      <c r="E304" t="s">
        <v>990</v>
      </c>
      <c r="F304" t="s">
        <v>2368</v>
      </c>
      <c r="G304" t="s">
        <v>20</v>
      </c>
      <c r="H304" t="s">
        <v>828</v>
      </c>
      <c r="I304" t="s">
        <v>874</v>
      </c>
      <c r="J304" t="s">
        <v>988</v>
      </c>
      <c r="K304" t="s">
        <v>1046</v>
      </c>
      <c r="L304">
        <v>111</v>
      </c>
      <c r="M304">
        <v>1730</v>
      </c>
      <c r="N304">
        <v>66000</v>
      </c>
      <c r="Q304" t="s">
        <v>1197</v>
      </c>
      <c r="S304" t="s">
        <v>1776</v>
      </c>
      <c r="V304" t="s">
        <v>32</v>
      </c>
      <c r="W304" t="s">
        <v>1198</v>
      </c>
      <c r="Y304" t="str">
        <f t="shared" si="23"/>
        <v/>
      </c>
      <c r="Z304" t="str">
        <f t="shared" si="24"/>
        <v/>
      </c>
      <c r="AA304" t="str">
        <f>IF(NOT("" = ""), HYPERLINK("", "موقع"), "")</f>
        <v/>
      </c>
    </row>
    <row r="305" spans="1:27" x14ac:dyDescent="0.3">
      <c r="A305" t="s">
        <v>1199</v>
      </c>
      <c r="B305" s="1">
        <v>46182.512789351851</v>
      </c>
      <c r="C305" t="s">
        <v>1</v>
      </c>
      <c r="D305" t="s">
        <v>54</v>
      </c>
      <c r="E305" t="s">
        <v>1201</v>
      </c>
      <c r="F305" t="s">
        <v>2334</v>
      </c>
      <c r="G305" t="s">
        <v>20</v>
      </c>
      <c r="H305" t="s">
        <v>828</v>
      </c>
      <c r="I305" t="s">
        <v>1122</v>
      </c>
      <c r="J305" t="s">
        <v>1123</v>
      </c>
      <c r="K305" t="s">
        <v>1200</v>
      </c>
      <c r="L305">
        <v>-101</v>
      </c>
      <c r="M305">
        <v>439</v>
      </c>
      <c r="N305">
        <v>66000</v>
      </c>
      <c r="Q305" t="s">
        <v>1202</v>
      </c>
      <c r="S305" t="s">
        <v>1776</v>
      </c>
      <c r="V305" t="s">
        <v>27</v>
      </c>
      <c r="W305" t="s">
        <v>1203</v>
      </c>
      <c r="Y305" t="str">
        <f t="shared" si="23"/>
        <v/>
      </c>
      <c r="Z305" t="str">
        <f t="shared" si="24"/>
        <v/>
      </c>
      <c r="AA305" t="str">
        <f>IF(NOT("" = ""), HYPERLINK("", "موقع"), "")</f>
        <v/>
      </c>
    </row>
    <row r="306" spans="1:27" x14ac:dyDescent="0.3">
      <c r="A306" t="s">
        <v>1204</v>
      </c>
      <c r="B306" s="1">
        <v>46182.512789351851</v>
      </c>
      <c r="C306" t="s">
        <v>1</v>
      </c>
      <c r="D306" t="s">
        <v>54</v>
      </c>
      <c r="E306" t="s">
        <v>997</v>
      </c>
      <c r="F306" t="s">
        <v>2369</v>
      </c>
      <c r="G306" t="s">
        <v>20</v>
      </c>
      <c r="H306" t="s">
        <v>828</v>
      </c>
      <c r="I306" t="s">
        <v>829</v>
      </c>
      <c r="J306" t="s">
        <v>830</v>
      </c>
      <c r="K306" t="s">
        <v>996</v>
      </c>
      <c r="L306">
        <v>-102</v>
      </c>
      <c r="M306">
        <v>1934</v>
      </c>
      <c r="N306">
        <v>68000</v>
      </c>
      <c r="O306">
        <v>31.915139</v>
      </c>
      <c r="P306">
        <v>35.884472000000002</v>
      </c>
      <c r="Q306" t="s">
        <v>1205</v>
      </c>
      <c r="R306" t="s">
        <v>2370</v>
      </c>
      <c r="S306" t="s">
        <v>1828</v>
      </c>
      <c r="U306" t="s">
        <v>2371</v>
      </c>
      <c r="V306" t="s">
        <v>41</v>
      </c>
      <c r="W306" t="s">
        <v>1206</v>
      </c>
      <c r="Y306" t="str">
        <f t="shared" si="23"/>
        <v/>
      </c>
      <c r="Z306" t="str">
        <f>IF(NOT("https://truemarkets3d.net/3d-virtual-tour/housingbank-realestate/phase3/aq-re-100749/index.html" = ""), HYPERLINK("https://truemarkets3d.net/3d-virtual-tour/housingbank-realestate/phase3/aq-re-100749/index.html", "جولة"), "")</f>
        <v>جولة</v>
      </c>
      <c r="AA306" t="str">
        <f>IF(NOT("https://maps.app.goo.gl/NUz9XJrJbDQFJvDU6" = ""), HYPERLINK("https://maps.app.goo.gl/NUz9XJrJbDQFJvDU6", "موقع"), "")</f>
        <v>موقع</v>
      </c>
    </row>
    <row r="307" spans="1:27" x14ac:dyDescent="0.3">
      <c r="A307" t="s">
        <v>1207</v>
      </c>
      <c r="B307" s="1">
        <v>46182.512789351851</v>
      </c>
      <c r="C307" t="s">
        <v>1</v>
      </c>
      <c r="D307" t="s">
        <v>54</v>
      </c>
      <c r="E307" t="s">
        <v>1208</v>
      </c>
      <c r="F307" t="s">
        <v>2372</v>
      </c>
      <c r="G307" t="s">
        <v>20</v>
      </c>
      <c r="H307" t="s">
        <v>828</v>
      </c>
      <c r="I307" t="s">
        <v>874</v>
      </c>
      <c r="J307" t="s">
        <v>887</v>
      </c>
      <c r="K307" t="s">
        <v>1031</v>
      </c>
      <c r="L307">
        <v>121</v>
      </c>
      <c r="M307">
        <v>2418</v>
      </c>
      <c r="N307">
        <v>70000</v>
      </c>
      <c r="O307">
        <v>31.990167</v>
      </c>
      <c r="P307">
        <v>35.925417000000003</v>
      </c>
      <c r="Q307" t="s">
        <v>1209</v>
      </c>
      <c r="S307" t="s">
        <v>1776</v>
      </c>
      <c r="U307" t="s">
        <v>2373</v>
      </c>
      <c r="V307" t="s">
        <v>75</v>
      </c>
      <c r="W307" t="s">
        <v>1210</v>
      </c>
      <c r="Y307" t="str">
        <f t="shared" si="23"/>
        <v/>
      </c>
      <c r="Z307" t="str">
        <f>IF(NOT("" = ""), HYPERLINK("", "جولة"), "")</f>
        <v/>
      </c>
      <c r="AA307" t="str">
        <f>IF(NOT("https://maps.app.goo.gl/P4ZHVhL2SDqrEY9z8" = ""), HYPERLINK("https://maps.app.goo.gl/P4ZHVhL2SDqrEY9z8", "موقع"), "")</f>
        <v>موقع</v>
      </c>
    </row>
    <row r="308" spans="1:27" x14ac:dyDescent="0.3">
      <c r="A308" t="s">
        <v>1211</v>
      </c>
      <c r="B308" s="1">
        <v>46182.512789351851</v>
      </c>
      <c r="C308" t="s">
        <v>1</v>
      </c>
      <c r="D308" t="s">
        <v>54</v>
      </c>
      <c r="E308" t="s">
        <v>990</v>
      </c>
      <c r="F308" t="s">
        <v>2374</v>
      </c>
      <c r="G308" t="s">
        <v>20</v>
      </c>
      <c r="H308" t="s">
        <v>828</v>
      </c>
      <c r="I308" t="s">
        <v>874</v>
      </c>
      <c r="J308" t="s">
        <v>988</v>
      </c>
      <c r="K308" t="s">
        <v>1046</v>
      </c>
      <c r="L308">
        <v>103</v>
      </c>
      <c r="M308">
        <v>1706</v>
      </c>
      <c r="N308">
        <v>71000</v>
      </c>
      <c r="Q308" t="s">
        <v>155</v>
      </c>
      <c r="S308" t="s">
        <v>1776</v>
      </c>
      <c r="V308" t="s">
        <v>41</v>
      </c>
      <c r="W308" t="s">
        <v>1212</v>
      </c>
      <c r="Y308" t="str">
        <f t="shared" si="23"/>
        <v/>
      </c>
      <c r="Z308" t="str">
        <f>IF(NOT("" = ""), HYPERLINK("", "جولة"), "")</f>
        <v/>
      </c>
      <c r="AA308" t="str">
        <f>IF(NOT("" = ""), HYPERLINK("", "موقع"), "")</f>
        <v/>
      </c>
    </row>
    <row r="309" spans="1:27" x14ac:dyDescent="0.3">
      <c r="A309" t="s">
        <v>1213</v>
      </c>
      <c r="B309" s="1">
        <v>46182.512789351851</v>
      </c>
      <c r="C309" t="s">
        <v>1</v>
      </c>
      <c r="D309" t="s">
        <v>54</v>
      </c>
      <c r="E309" t="s">
        <v>1194</v>
      </c>
      <c r="F309" t="s">
        <v>2375</v>
      </c>
      <c r="G309" t="s">
        <v>20</v>
      </c>
      <c r="H309" t="s">
        <v>828</v>
      </c>
      <c r="I309" t="s">
        <v>974</v>
      </c>
      <c r="J309" t="s">
        <v>1192</v>
      </c>
      <c r="K309" t="s">
        <v>1214</v>
      </c>
      <c r="L309">
        <v>-101</v>
      </c>
      <c r="M309">
        <v>2921</v>
      </c>
      <c r="N309">
        <v>72000</v>
      </c>
      <c r="O309">
        <v>32.044027999999997</v>
      </c>
      <c r="P309">
        <v>35.928750000000001</v>
      </c>
      <c r="Q309" t="s">
        <v>946</v>
      </c>
      <c r="S309" t="s">
        <v>1776</v>
      </c>
      <c r="U309" t="s">
        <v>2376</v>
      </c>
      <c r="V309" t="s">
        <v>27</v>
      </c>
      <c r="W309" t="s">
        <v>1215</v>
      </c>
      <c r="Y309" t="str">
        <f t="shared" si="23"/>
        <v/>
      </c>
      <c r="Z309" t="str">
        <f>IF(NOT("" = ""), HYPERLINK("", "جولة"), "")</f>
        <v/>
      </c>
      <c r="AA309" t="str">
        <f>IF(NOT("https://maps.app.goo.gl/AaPL6x8f3Epshw3A6" = ""), HYPERLINK("https://maps.app.goo.gl/AaPL6x8f3Epshw3A6", "موقع"), "")</f>
        <v>موقع</v>
      </c>
    </row>
    <row r="310" spans="1:27" x14ac:dyDescent="0.3">
      <c r="A310" t="s">
        <v>1216</v>
      </c>
      <c r="B310" s="1">
        <v>46182.512789351851</v>
      </c>
      <c r="C310" t="s">
        <v>1</v>
      </c>
      <c r="D310" t="s">
        <v>54</v>
      </c>
      <c r="E310" t="s">
        <v>1125</v>
      </c>
      <c r="F310" t="s">
        <v>2377</v>
      </c>
      <c r="G310" t="s">
        <v>20</v>
      </c>
      <c r="H310" t="s">
        <v>828</v>
      </c>
      <c r="I310" t="s">
        <v>1122</v>
      </c>
      <c r="J310" t="s">
        <v>1123</v>
      </c>
      <c r="K310" t="s">
        <v>1217</v>
      </c>
      <c r="L310">
        <v>132</v>
      </c>
      <c r="M310">
        <v>1328</v>
      </c>
      <c r="N310">
        <v>74000</v>
      </c>
      <c r="O310">
        <v>31.897138999999999</v>
      </c>
      <c r="P310">
        <v>35.844527999999997</v>
      </c>
      <c r="Q310" t="s">
        <v>448</v>
      </c>
      <c r="R310" t="s">
        <v>2378</v>
      </c>
      <c r="S310" t="s">
        <v>1828</v>
      </c>
      <c r="U310" t="s">
        <v>2379</v>
      </c>
      <c r="V310" t="s">
        <v>50</v>
      </c>
      <c r="W310" t="s">
        <v>1218</v>
      </c>
      <c r="Y310" t="str">
        <f t="shared" si="23"/>
        <v/>
      </c>
      <c r="Z310" t="str">
        <f>IF(NOT("https://truemarkets3d.net/3d-virtual-tour/housingbank-realestate/phase3/aq-re-100113/index.html" = ""), HYPERLINK("https://truemarkets3d.net/3d-virtual-tour/housingbank-realestate/phase3/aq-re-100113/index.html", "جولة"), "")</f>
        <v>جولة</v>
      </c>
      <c r="AA310" t="str">
        <f>IF(NOT("https://maps.app.goo.gl/RcLya9VzoKjrcVjX7" = ""), HYPERLINK("https://maps.app.goo.gl/RcLya9VzoKjrcVjX7", "موقع"), "")</f>
        <v>موقع</v>
      </c>
    </row>
    <row r="311" spans="1:27" x14ac:dyDescent="0.3">
      <c r="A311" t="s">
        <v>1219</v>
      </c>
      <c r="B311" s="1">
        <v>46182.512789351851</v>
      </c>
      <c r="C311" t="s">
        <v>1</v>
      </c>
      <c r="D311" t="s">
        <v>54</v>
      </c>
      <c r="E311" t="s">
        <v>1221</v>
      </c>
      <c r="F311" t="s">
        <v>2380</v>
      </c>
      <c r="G311" t="s">
        <v>20</v>
      </c>
      <c r="H311" t="s">
        <v>828</v>
      </c>
      <c r="I311" t="s">
        <v>1148</v>
      </c>
      <c r="J311" t="s">
        <v>1149</v>
      </c>
      <c r="K311" t="s">
        <v>1220</v>
      </c>
      <c r="L311">
        <v>122</v>
      </c>
      <c r="M311">
        <v>450</v>
      </c>
      <c r="N311">
        <v>75000</v>
      </c>
      <c r="O311">
        <v>31.94875</v>
      </c>
      <c r="P311">
        <v>35.857694000000002</v>
      </c>
      <c r="Q311" t="s">
        <v>1222</v>
      </c>
      <c r="R311" t="s">
        <v>2381</v>
      </c>
      <c r="S311" t="s">
        <v>1828</v>
      </c>
      <c r="U311" t="s">
        <v>2382</v>
      </c>
      <c r="V311" t="s">
        <v>75</v>
      </c>
      <c r="W311" t="s">
        <v>1223</v>
      </c>
      <c r="Y311" t="str">
        <f t="shared" si="23"/>
        <v/>
      </c>
      <c r="Z311" t="str">
        <f>IF(NOT("https://truemarkets3d.net/3d-virtual-tour/housingbank-realestate/phase3/aq-re-100521/index.html" = ""), HYPERLINK("https://truemarkets3d.net/3d-virtual-tour/housingbank-realestate/phase3/aq-re-100521/index.html", "جولة"), "")</f>
        <v>جولة</v>
      </c>
      <c r="AA311" t="str">
        <f>IF(NOT("https://maps.app.goo.gl/qLQ5BPu7PfNaEtY78" = ""), HYPERLINK("https://maps.app.goo.gl/qLQ5BPu7PfNaEtY78", "موقع"), "")</f>
        <v>موقع</v>
      </c>
    </row>
    <row r="312" spans="1:27" x14ac:dyDescent="0.3">
      <c r="A312" t="s">
        <v>1224</v>
      </c>
      <c r="B312" s="1">
        <v>46182.512789351851</v>
      </c>
      <c r="C312" t="s">
        <v>1</v>
      </c>
      <c r="D312" t="s">
        <v>54</v>
      </c>
      <c r="E312" t="s">
        <v>997</v>
      </c>
      <c r="F312" t="s">
        <v>2383</v>
      </c>
      <c r="G312" t="s">
        <v>20</v>
      </c>
      <c r="H312" t="s">
        <v>828</v>
      </c>
      <c r="I312" t="s">
        <v>829</v>
      </c>
      <c r="J312" t="s">
        <v>830</v>
      </c>
      <c r="K312" t="s">
        <v>996</v>
      </c>
      <c r="L312">
        <v>131</v>
      </c>
      <c r="M312">
        <v>1960</v>
      </c>
      <c r="N312">
        <v>78000</v>
      </c>
      <c r="O312">
        <v>31.912972</v>
      </c>
      <c r="P312">
        <v>35.885139000000002</v>
      </c>
      <c r="Q312" t="s">
        <v>1225</v>
      </c>
      <c r="R312" t="s">
        <v>2384</v>
      </c>
      <c r="S312" t="s">
        <v>1828</v>
      </c>
      <c r="U312" t="s">
        <v>2385</v>
      </c>
      <c r="V312" t="s">
        <v>50</v>
      </c>
      <c r="W312" t="s">
        <v>1226</v>
      </c>
      <c r="Y312" t="str">
        <f t="shared" si="23"/>
        <v/>
      </c>
      <c r="Z312" t="str">
        <f>IF(NOT("https://www.true-markets.net/media/360tour/housing-bank/1960-131/index.html" = ""), HYPERLINK("https://www.true-markets.net/media/360tour/housing-bank/1960-131/index.html", "جولة"), "")</f>
        <v>جولة</v>
      </c>
      <c r="AA312" t="str">
        <f>IF(NOT("https://maps.app.goo.gl/Nq3Tn1h3kFCRPX2N9" = ""), HYPERLINK("https://maps.app.goo.gl/Nq3Tn1h3kFCRPX2N9", "موقع"), "")</f>
        <v>موقع</v>
      </c>
    </row>
    <row r="313" spans="1:27" x14ac:dyDescent="0.3">
      <c r="A313" t="s">
        <v>1227</v>
      </c>
      <c r="B313" s="1">
        <v>46182.512789351851</v>
      </c>
      <c r="C313" t="s">
        <v>1</v>
      </c>
      <c r="D313" t="s">
        <v>54</v>
      </c>
      <c r="E313" t="s">
        <v>1229</v>
      </c>
      <c r="F313" t="s">
        <v>2386</v>
      </c>
      <c r="G313" t="s">
        <v>20</v>
      </c>
      <c r="H313" t="s">
        <v>828</v>
      </c>
      <c r="I313" t="s">
        <v>1148</v>
      </c>
      <c r="J313" t="s">
        <v>1149</v>
      </c>
      <c r="K313" t="s">
        <v>1228</v>
      </c>
      <c r="L313">
        <v>102</v>
      </c>
      <c r="M313">
        <v>863</v>
      </c>
      <c r="N313">
        <v>82000</v>
      </c>
      <c r="O313">
        <v>31.963068</v>
      </c>
      <c r="P313">
        <v>35.842413000000001</v>
      </c>
      <c r="Q313" t="s">
        <v>927</v>
      </c>
      <c r="S313" t="s">
        <v>1776</v>
      </c>
      <c r="V313" t="s">
        <v>41</v>
      </c>
      <c r="W313" t="s">
        <v>1230</v>
      </c>
      <c r="Y313" t="str">
        <f t="shared" si="23"/>
        <v/>
      </c>
      <c r="Z313" t="str">
        <f>IF(NOT("" = ""), HYPERLINK("", "جولة"), "")</f>
        <v/>
      </c>
      <c r="AA313" t="str">
        <f>IF(NOT("" = ""), HYPERLINK("", "موقع"), "")</f>
        <v/>
      </c>
    </row>
    <row r="314" spans="1:27" x14ac:dyDescent="0.3">
      <c r="A314" t="s">
        <v>1231</v>
      </c>
      <c r="B314" s="1">
        <v>46182.512789351851</v>
      </c>
      <c r="C314" t="s">
        <v>1</v>
      </c>
      <c r="D314" t="s">
        <v>54</v>
      </c>
      <c r="E314" t="s">
        <v>1234</v>
      </c>
      <c r="F314" t="s">
        <v>2387</v>
      </c>
      <c r="G314" t="s">
        <v>20</v>
      </c>
      <c r="H314" t="s">
        <v>828</v>
      </c>
      <c r="I314" t="s">
        <v>1122</v>
      </c>
      <c r="J314" t="s">
        <v>1232</v>
      </c>
      <c r="K314" t="s">
        <v>1233</v>
      </c>
      <c r="L314">
        <v>-111</v>
      </c>
      <c r="M314">
        <v>398</v>
      </c>
      <c r="N314">
        <v>95000</v>
      </c>
      <c r="O314">
        <v>31.898250000000001</v>
      </c>
      <c r="P314">
        <v>35.879666999999998</v>
      </c>
      <c r="Q314" t="s">
        <v>1235</v>
      </c>
      <c r="R314" t="s">
        <v>2388</v>
      </c>
      <c r="S314" t="s">
        <v>1828</v>
      </c>
      <c r="U314" t="s">
        <v>2389</v>
      </c>
      <c r="V314" t="s">
        <v>27</v>
      </c>
      <c r="W314" t="s">
        <v>1236</v>
      </c>
      <c r="X314" t="s">
        <v>2390</v>
      </c>
      <c r="Y314" t="str">
        <f>IF(NOT("https://youtu.be/HnI2uq5itUI" = ""), HYPERLINK("https://youtu.be/HnI2uq5itUI", "فيديو"), "")</f>
        <v>فيديو</v>
      </c>
      <c r="Z314" t="str">
        <f>IF(NOT("https://truemarkets3d.net/3d-virtual-tour/housingbank-realestate/phase3/aq-re-100565/index.html" = ""), HYPERLINK("https://truemarkets3d.net/3d-virtual-tour/housingbank-realestate/phase3/aq-re-100565/index.html", "جولة"), "")</f>
        <v>جولة</v>
      </c>
      <c r="AA314" t="str">
        <f>IF(NOT("https://maps.app.goo.gl/LVzG22XCMkTF2GnN9" = ""), HYPERLINK("https://maps.app.goo.gl/LVzG22XCMkTF2GnN9", "موقع"), "")</f>
        <v>موقع</v>
      </c>
    </row>
    <row r="315" spans="1:27" x14ac:dyDescent="0.3">
      <c r="A315" t="s">
        <v>1237</v>
      </c>
      <c r="B315" s="1">
        <v>46182.512789351851</v>
      </c>
      <c r="C315" t="s">
        <v>1</v>
      </c>
      <c r="D315" t="s">
        <v>54</v>
      </c>
      <c r="E315" t="s">
        <v>1125</v>
      </c>
      <c r="F315" t="s">
        <v>2391</v>
      </c>
      <c r="G315" t="s">
        <v>20</v>
      </c>
      <c r="H315" t="s">
        <v>828</v>
      </c>
      <c r="I315" t="s">
        <v>829</v>
      </c>
      <c r="J315" t="s">
        <v>830</v>
      </c>
      <c r="K315" t="s">
        <v>1238</v>
      </c>
      <c r="L315">
        <v>-101</v>
      </c>
      <c r="M315">
        <v>29</v>
      </c>
      <c r="N315">
        <v>108000</v>
      </c>
      <c r="Q315" t="s">
        <v>1239</v>
      </c>
      <c r="S315" t="s">
        <v>1776</v>
      </c>
      <c r="V315" t="s">
        <v>27</v>
      </c>
      <c r="W315" t="s">
        <v>1240</v>
      </c>
      <c r="Y315" t="str">
        <f t="shared" ref="Y315:Y321" si="25">IF(NOT("" = ""), HYPERLINK("", "فيديو"), "")</f>
        <v/>
      </c>
      <c r="Z315" t="str">
        <f>IF(NOT("" = ""), HYPERLINK("", "جولة"), "")</f>
        <v/>
      </c>
      <c r="AA315" t="str">
        <f>IF(NOT("" = ""), HYPERLINK("", "موقع"), "")</f>
        <v/>
      </c>
    </row>
    <row r="316" spans="1:27" x14ac:dyDescent="0.3">
      <c r="A316" t="s">
        <v>1241</v>
      </c>
      <c r="B316" s="1">
        <v>46182.512789351851</v>
      </c>
      <c r="C316" t="s">
        <v>1</v>
      </c>
      <c r="D316" t="s">
        <v>54</v>
      </c>
      <c r="E316" t="s">
        <v>1090</v>
      </c>
      <c r="F316" t="s">
        <v>2392</v>
      </c>
      <c r="G316" t="s">
        <v>20</v>
      </c>
      <c r="H316" t="s">
        <v>828</v>
      </c>
      <c r="I316" t="s">
        <v>974</v>
      </c>
      <c r="J316" t="s">
        <v>1088</v>
      </c>
      <c r="K316" t="s">
        <v>1089</v>
      </c>
      <c r="L316">
        <v>101</v>
      </c>
      <c r="M316">
        <v>403</v>
      </c>
      <c r="N316">
        <v>110000</v>
      </c>
      <c r="O316">
        <v>32.011721999999999</v>
      </c>
      <c r="P316">
        <v>35.861471999999999</v>
      </c>
      <c r="Q316" t="s">
        <v>1202</v>
      </c>
      <c r="R316" t="s">
        <v>2393</v>
      </c>
      <c r="S316" t="s">
        <v>1828</v>
      </c>
      <c r="U316" t="s">
        <v>2394</v>
      </c>
      <c r="V316" t="s">
        <v>41</v>
      </c>
      <c r="W316" t="s">
        <v>1242</v>
      </c>
      <c r="Y316" t="str">
        <f t="shared" si="25"/>
        <v/>
      </c>
      <c r="Z316" t="str">
        <f>IF(NOT("https://truemarkets3d.net/3d-virtual-tour/housingbank-realestate/phase3/aq-re-100028/index.html" = ""), HYPERLINK("https://truemarkets3d.net/3d-virtual-tour/housingbank-realestate/phase3/aq-re-100028/index.html", "جولة"), "")</f>
        <v>جولة</v>
      </c>
      <c r="AA316" t="str">
        <f>IF(NOT("https://maps.app.goo.gl/8xbcN4kXprhQ9SPx7" = ""), HYPERLINK("https://maps.app.goo.gl/8xbcN4kXprhQ9SPx7", "موقع"), "")</f>
        <v>موقع</v>
      </c>
    </row>
    <row r="317" spans="1:27" x14ac:dyDescent="0.3">
      <c r="A317" t="s">
        <v>1243</v>
      </c>
      <c r="B317" s="1">
        <v>46182.512789351851</v>
      </c>
      <c r="C317" t="s">
        <v>1</v>
      </c>
      <c r="D317" t="s">
        <v>54</v>
      </c>
      <c r="E317" t="s">
        <v>1245</v>
      </c>
      <c r="F317" t="s">
        <v>2395</v>
      </c>
      <c r="G317" t="s">
        <v>20</v>
      </c>
      <c r="H317" t="s">
        <v>828</v>
      </c>
      <c r="I317" t="s">
        <v>829</v>
      </c>
      <c r="J317" t="s">
        <v>830</v>
      </c>
      <c r="K317" t="s">
        <v>1244</v>
      </c>
      <c r="L317">
        <v>111</v>
      </c>
      <c r="M317">
        <v>1121</v>
      </c>
      <c r="N317">
        <v>115000</v>
      </c>
      <c r="O317">
        <v>31.981306</v>
      </c>
      <c r="P317">
        <v>35.913806000000001</v>
      </c>
      <c r="Q317" t="s">
        <v>1246</v>
      </c>
      <c r="S317" t="s">
        <v>1776</v>
      </c>
      <c r="U317" t="s">
        <v>2396</v>
      </c>
      <c r="V317" t="s">
        <v>32</v>
      </c>
      <c r="W317" t="s">
        <v>1247</v>
      </c>
      <c r="Y317" t="str">
        <f t="shared" si="25"/>
        <v/>
      </c>
      <c r="Z317" t="str">
        <f>IF(NOT("" = ""), HYPERLINK("", "جولة"), "")</f>
        <v/>
      </c>
      <c r="AA317" t="str">
        <f>IF(NOT("https://maps.app.goo.gl/BmWitPWPQ29bRjzo6" = ""), HYPERLINK("https://maps.app.goo.gl/BmWitPWPQ29bRjzo6", "موقع"), "")</f>
        <v>موقع</v>
      </c>
    </row>
    <row r="318" spans="1:27" x14ac:dyDescent="0.3">
      <c r="A318" t="s">
        <v>1248</v>
      </c>
      <c r="B318" s="1">
        <v>46182.512789351851</v>
      </c>
      <c r="C318" t="s">
        <v>1</v>
      </c>
      <c r="D318" t="s">
        <v>54</v>
      </c>
      <c r="E318" t="s">
        <v>1250</v>
      </c>
      <c r="F318" t="s">
        <v>2397</v>
      </c>
      <c r="G318" t="s">
        <v>20</v>
      </c>
      <c r="H318" t="s">
        <v>828</v>
      </c>
      <c r="I318" t="s">
        <v>1148</v>
      </c>
      <c r="J318" t="s">
        <v>1149</v>
      </c>
      <c r="K318" t="s">
        <v>1249</v>
      </c>
      <c r="L318">
        <v>111</v>
      </c>
      <c r="M318">
        <v>1278</v>
      </c>
      <c r="N318">
        <v>127000</v>
      </c>
      <c r="Q318" t="s">
        <v>1251</v>
      </c>
      <c r="R318" t="s">
        <v>2398</v>
      </c>
      <c r="S318" t="s">
        <v>1828</v>
      </c>
      <c r="V318" t="s">
        <v>32</v>
      </c>
      <c r="W318" t="s">
        <v>1252</v>
      </c>
      <c r="Y318" t="str">
        <f t="shared" si="25"/>
        <v/>
      </c>
      <c r="Z318" t="str">
        <f>IF(NOT("https://www.true-markets.net/media/360tour/housing-bank/1278-111/index.html" = ""), HYPERLINK("https://www.true-markets.net/media/360tour/housing-bank/1278-111/index.html", "جولة"), "")</f>
        <v>جولة</v>
      </c>
      <c r="AA318" t="str">
        <f>IF(NOT("" = ""), HYPERLINK("", "موقع"), "")</f>
        <v/>
      </c>
    </row>
    <row r="319" spans="1:27" x14ac:dyDescent="0.3">
      <c r="A319" t="s">
        <v>1253</v>
      </c>
      <c r="B319" s="1">
        <v>46182.512789351851</v>
      </c>
      <c r="C319" t="s">
        <v>1</v>
      </c>
      <c r="D319" t="s">
        <v>54</v>
      </c>
      <c r="E319" t="s">
        <v>1255</v>
      </c>
      <c r="F319" t="s">
        <v>2399</v>
      </c>
      <c r="G319" t="s">
        <v>20</v>
      </c>
      <c r="H319" t="s">
        <v>828</v>
      </c>
      <c r="I319" t="s">
        <v>829</v>
      </c>
      <c r="J319" t="s">
        <v>830</v>
      </c>
      <c r="K319" t="s">
        <v>1254</v>
      </c>
      <c r="L319">
        <v>112</v>
      </c>
      <c r="M319">
        <v>585</v>
      </c>
      <c r="N319">
        <v>144000</v>
      </c>
      <c r="O319">
        <v>31.971333000000001</v>
      </c>
      <c r="P319">
        <v>35.874389000000001</v>
      </c>
      <c r="Q319" t="s">
        <v>1256</v>
      </c>
      <c r="R319" t="s">
        <v>2400</v>
      </c>
      <c r="S319" t="s">
        <v>1776</v>
      </c>
      <c r="U319" t="s">
        <v>2401</v>
      </c>
      <c r="V319" t="s">
        <v>32</v>
      </c>
      <c r="W319" t="s">
        <v>1257</v>
      </c>
      <c r="Y319" t="str">
        <f t="shared" si="25"/>
        <v/>
      </c>
      <c r="Z319" t="str">
        <f>IF(NOT("https://www.true-markets.net/media/360tour/housing-bank/585-112/index.html" = ""), HYPERLINK("https://www.true-markets.net/media/360tour/housing-bank/585-112/index.html", "جولة"), "")</f>
        <v>جولة</v>
      </c>
      <c r="AA319" t="str">
        <f>IF(NOT("https://maps.app.goo.gl/ha7yQqf6mJjpZvor5" = ""), HYPERLINK("https://maps.app.goo.gl/ha7yQqf6mJjpZvor5", "موقع"), "")</f>
        <v>موقع</v>
      </c>
    </row>
    <row r="320" spans="1:27" x14ac:dyDescent="0.3">
      <c r="A320" t="s">
        <v>1258</v>
      </c>
      <c r="B320" s="1">
        <v>46182.512789351851</v>
      </c>
      <c r="C320" t="s">
        <v>1</v>
      </c>
      <c r="D320" t="s">
        <v>54</v>
      </c>
      <c r="E320" t="s">
        <v>1255</v>
      </c>
      <c r="F320" t="s">
        <v>2402</v>
      </c>
      <c r="G320" t="s">
        <v>20</v>
      </c>
      <c r="H320" t="s">
        <v>828</v>
      </c>
      <c r="I320" t="s">
        <v>829</v>
      </c>
      <c r="J320" t="s">
        <v>830</v>
      </c>
      <c r="K320" t="s">
        <v>1254</v>
      </c>
      <c r="L320">
        <v>-101</v>
      </c>
      <c r="M320">
        <v>568</v>
      </c>
      <c r="N320">
        <v>164000</v>
      </c>
      <c r="Q320" t="s">
        <v>1259</v>
      </c>
      <c r="S320" t="s">
        <v>1776</v>
      </c>
      <c r="V320" t="s">
        <v>32</v>
      </c>
      <c r="W320" t="s">
        <v>1260</v>
      </c>
      <c r="Y320" t="str">
        <f t="shared" si="25"/>
        <v/>
      </c>
      <c r="Z320" t="str">
        <f>IF(NOT("" = ""), HYPERLINK("", "جولة"), "")</f>
        <v/>
      </c>
      <c r="AA320" t="str">
        <f>IF(NOT("" = ""), HYPERLINK("", "موقع"), "")</f>
        <v/>
      </c>
    </row>
    <row r="321" spans="1:27" x14ac:dyDescent="0.3">
      <c r="A321" t="s">
        <v>1261</v>
      </c>
      <c r="B321" s="1">
        <v>46182.512789351851</v>
      </c>
      <c r="C321" t="s">
        <v>1</v>
      </c>
      <c r="D321" t="s">
        <v>54</v>
      </c>
      <c r="E321" t="s">
        <v>1037</v>
      </c>
      <c r="F321" t="s">
        <v>2403</v>
      </c>
      <c r="G321" t="s">
        <v>20</v>
      </c>
      <c r="H321" t="s">
        <v>828</v>
      </c>
      <c r="I321" t="s">
        <v>860</v>
      </c>
      <c r="J321" t="s">
        <v>1035</v>
      </c>
      <c r="K321" t="s">
        <v>1036</v>
      </c>
      <c r="L321">
        <v>0</v>
      </c>
      <c r="M321">
        <v>1317</v>
      </c>
      <c r="N321">
        <v>224000</v>
      </c>
      <c r="Q321" t="s">
        <v>1262</v>
      </c>
      <c r="S321" t="s">
        <v>1776</v>
      </c>
      <c r="V321" t="s">
        <v>32</v>
      </c>
      <c r="W321" t="s">
        <v>1263</v>
      </c>
      <c r="Y321" t="str">
        <f t="shared" si="25"/>
        <v/>
      </c>
      <c r="Z321" t="str">
        <f>IF(NOT("" = ""), HYPERLINK("", "جولة"), "")</f>
        <v/>
      </c>
      <c r="AA321" t="str">
        <f>IF(NOT("" = ""), HYPERLINK("", "موقع"), "")</f>
        <v/>
      </c>
    </row>
    <row r="322" spans="1:27" x14ac:dyDescent="0.3">
      <c r="A322" t="s">
        <v>1264</v>
      </c>
      <c r="B322" s="1">
        <v>46182.512789351851</v>
      </c>
      <c r="C322" t="s">
        <v>1</v>
      </c>
      <c r="D322" t="s">
        <v>1265</v>
      </c>
      <c r="E322" t="s">
        <v>1090</v>
      </c>
      <c r="F322" t="s">
        <v>2404</v>
      </c>
      <c r="G322" t="s">
        <v>20</v>
      </c>
      <c r="H322" t="s">
        <v>828</v>
      </c>
      <c r="I322" t="s">
        <v>974</v>
      </c>
      <c r="J322" t="s">
        <v>1088</v>
      </c>
      <c r="K322" t="s">
        <v>1089</v>
      </c>
      <c r="L322">
        <v>121</v>
      </c>
      <c r="M322">
        <v>1394</v>
      </c>
      <c r="N322">
        <v>65000</v>
      </c>
      <c r="O322">
        <v>32.006833</v>
      </c>
      <c r="P322">
        <v>35.864860999999998</v>
      </c>
      <c r="Q322" t="s">
        <v>87</v>
      </c>
      <c r="R322" t="s">
        <v>2405</v>
      </c>
      <c r="S322" t="s">
        <v>1828</v>
      </c>
      <c r="T322" t="s">
        <v>2406</v>
      </c>
      <c r="U322" t="s">
        <v>2407</v>
      </c>
      <c r="V322" t="s">
        <v>75</v>
      </c>
      <c r="W322" t="s">
        <v>1266</v>
      </c>
      <c r="X322" t="s">
        <v>2408</v>
      </c>
      <c r="Y322" t="str">
        <f>IF(NOT("https://youtu.be/gbi_PajVXgo" = ""), HYPERLINK("https://youtu.be/gbi_PajVXgo", "فيديو"), "")</f>
        <v>فيديو</v>
      </c>
      <c r="Z322" t="str">
        <f>IF(NOT("https://truemarkets3d.net/3d-virtual-tour/housingbank-realestate/phase3/aq-re-100536/index.html" = ""), HYPERLINK("https://truemarkets3d.net/3d-virtual-tour/housingbank-realestate/phase3/aq-re-100536/index.html", "جولة"), "")</f>
        <v>جولة</v>
      </c>
      <c r="AA322" t="str">
        <f>IF(NOT("https://maps.app.goo.gl/LPC5QooR1YJtXR6eA" = ""), HYPERLINK("https://maps.app.goo.gl/LPC5QooR1YJtXR6eA", "موقع"), "")</f>
        <v>موقع</v>
      </c>
    </row>
    <row r="323" spans="1:27" x14ac:dyDescent="0.3">
      <c r="A323" t="s">
        <v>1267</v>
      </c>
      <c r="B323" s="1">
        <v>46182.512789351851</v>
      </c>
      <c r="C323" t="s">
        <v>1</v>
      </c>
      <c r="D323" t="s">
        <v>263</v>
      </c>
      <c r="E323" t="s">
        <v>1125</v>
      </c>
      <c r="F323" t="s">
        <v>2409</v>
      </c>
      <c r="G323" t="s">
        <v>262</v>
      </c>
      <c r="H323" t="s">
        <v>828</v>
      </c>
      <c r="I323" t="s">
        <v>1122</v>
      </c>
      <c r="J323" t="s">
        <v>1123</v>
      </c>
      <c r="K323" t="s">
        <v>1268</v>
      </c>
      <c r="L323">
        <v>0</v>
      </c>
      <c r="M323">
        <v>83</v>
      </c>
      <c r="N323">
        <v>633000</v>
      </c>
      <c r="O323">
        <v>31.902305999999999</v>
      </c>
      <c r="P323">
        <v>35.851972000000004</v>
      </c>
      <c r="Q323" t="s">
        <v>1269</v>
      </c>
      <c r="R323" t="s">
        <v>2410</v>
      </c>
      <c r="S323" t="s">
        <v>1828</v>
      </c>
      <c r="U323" t="s">
        <v>2411</v>
      </c>
      <c r="W323" t="s">
        <v>1270</v>
      </c>
      <c r="Y323" t="str">
        <f t="shared" ref="Y323:Y354" si="26">IF(NOT("" = ""), HYPERLINK("", "فيديو"), "")</f>
        <v/>
      </c>
      <c r="Z323" t="str">
        <f>IF(NOT("https://truemarkets3d.net/3d-virtual-tour/housingbank-realestate/phase3/aq-bld-100596/index.html" = ""), HYPERLINK("https://truemarkets3d.net/3d-virtual-tour/housingbank-realestate/phase3/aq-bld-100596/index.html", "جولة"), "")</f>
        <v>جولة</v>
      </c>
      <c r="AA323" t="str">
        <f>IF(NOT("https://maps.app.goo.gl/ut7kx4iH4qQcehx6A" = ""), HYPERLINK("https://maps.app.goo.gl/ut7kx4iH4qQcehx6A", "موقع"), "")</f>
        <v>موقع</v>
      </c>
    </row>
    <row r="324" spans="1:27" x14ac:dyDescent="0.3">
      <c r="A324" t="s">
        <v>1271</v>
      </c>
      <c r="B324" s="1">
        <v>46182.512789351851</v>
      </c>
      <c r="C324" t="s">
        <v>1</v>
      </c>
      <c r="D324" t="s">
        <v>281</v>
      </c>
      <c r="E324" t="s">
        <v>1272</v>
      </c>
      <c r="F324" t="s">
        <v>2412</v>
      </c>
      <c r="G324" t="s">
        <v>262</v>
      </c>
      <c r="H324" t="s">
        <v>828</v>
      </c>
      <c r="I324" t="s">
        <v>829</v>
      </c>
      <c r="J324" t="s">
        <v>830</v>
      </c>
      <c r="K324" t="s">
        <v>847</v>
      </c>
      <c r="L324">
        <v>0</v>
      </c>
      <c r="M324">
        <v>318</v>
      </c>
      <c r="N324">
        <v>18000</v>
      </c>
      <c r="O324">
        <v>31.939610999999999</v>
      </c>
      <c r="P324">
        <v>35.930500000000002</v>
      </c>
      <c r="Q324" t="s">
        <v>1197</v>
      </c>
      <c r="S324" t="s">
        <v>1776</v>
      </c>
      <c r="U324" t="s">
        <v>2413</v>
      </c>
      <c r="W324" t="s">
        <v>1273</v>
      </c>
      <c r="Y324" t="str">
        <f t="shared" si="26"/>
        <v/>
      </c>
      <c r="Z324" t="str">
        <f>IF(NOT("" = ""), HYPERLINK("", "جولة"), "")</f>
        <v/>
      </c>
      <c r="AA324" t="str">
        <f>IF(NOT("https://maps.app.goo.gl/qJ2N4seNzMWjiszC6" = ""), HYPERLINK("https://maps.app.goo.gl/qJ2N4seNzMWjiszC6", "موقع"), "")</f>
        <v>موقع</v>
      </c>
    </row>
    <row r="325" spans="1:27" x14ac:dyDescent="0.3">
      <c r="A325" t="s">
        <v>1274</v>
      </c>
      <c r="B325" s="1">
        <v>46182.512789351851</v>
      </c>
      <c r="C325" t="s">
        <v>1</v>
      </c>
      <c r="D325" t="s">
        <v>281</v>
      </c>
      <c r="E325" t="s">
        <v>883</v>
      </c>
      <c r="F325" t="s">
        <v>2414</v>
      </c>
      <c r="G325" t="s">
        <v>262</v>
      </c>
      <c r="H325" t="s">
        <v>828</v>
      </c>
      <c r="I325" t="s">
        <v>880</v>
      </c>
      <c r="J325" t="s">
        <v>944</v>
      </c>
      <c r="K325" t="s">
        <v>1275</v>
      </c>
      <c r="L325">
        <v>0</v>
      </c>
      <c r="M325">
        <v>713</v>
      </c>
      <c r="N325">
        <v>18000</v>
      </c>
      <c r="Q325" t="s">
        <v>1276</v>
      </c>
      <c r="S325" t="s">
        <v>1776</v>
      </c>
      <c r="W325" t="s">
        <v>1277</v>
      </c>
      <c r="Y325" t="str">
        <f t="shared" si="26"/>
        <v/>
      </c>
      <c r="Z325" t="str">
        <f>IF(NOT("" = ""), HYPERLINK("", "جولة"), "")</f>
        <v/>
      </c>
      <c r="AA325" t="str">
        <f>IF(NOT("" = ""), HYPERLINK("", "موقع"), "")</f>
        <v/>
      </c>
    </row>
    <row r="326" spans="1:27" x14ac:dyDescent="0.3">
      <c r="A326" t="s">
        <v>1278</v>
      </c>
      <c r="B326" s="1">
        <v>46182.512789351851</v>
      </c>
      <c r="C326" t="s">
        <v>1</v>
      </c>
      <c r="D326" t="s">
        <v>281</v>
      </c>
      <c r="E326" t="s">
        <v>877</v>
      </c>
      <c r="F326" t="s">
        <v>2415</v>
      </c>
      <c r="G326" t="s">
        <v>262</v>
      </c>
      <c r="H326" t="s">
        <v>828</v>
      </c>
      <c r="I326" t="s">
        <v>874</v>
      </c>
      <c r="J326" t="s">
        <v>875</v>
      </c>
      <c r="K326" t="s">
        <v>954</v>
      </c>
      <c r="L326">
        <v>0</v>
      </c>
      <c r="M326">
        <v>1652</v>
      </c>
      <c r="N326">
        <v>41000</v>
      </c>
      <c r="O326">
        <v>31.956444000000001</v>
      </c>
      <c r="P326">
        <v>35.978943999999998</v>
      </c>
      <c r="Q326" t="s">
        <v>1279</v>
      </c>
      <c r="S326" t="s">
        <v>1776</v>
      </c>
      <c r="U326" t="s">
        <v>2416</v>
      </c>
      <c r="W326" t="s">
        <v>1280</v>
      </c>
      <c r="Y326" t="str">
        <f t="shared" si="26"/>
        <v/>
      </c>
      <c r="Z326" t="str">
        <f>IF(NOT("" = ""), HYPERLINK("", "جولة"), "")</f>
        <v/>
      </c>
      <c r="AA326" t="str">
        <f>IF(NOT("https://maps.app.goo.gl/g8BmRrkiQN7cGfYK9" = ""), HYPERLINK("https://maps.app.goo.gl/g8BmRrkiQN7cGfYK9", "موقع"), "")</f>
        <v>موقع</v>
      </c>
    </row>
    <row r="327" spans="1:27" x14ac:dyDescent="0.3">
      <c r="A327" t="s">
        <v>1281</v>
      </c>
      <c r="B327" s="1">
        <v>46182.512789351851</v>
      </c>
      <c r="C327" t="s">
        <v>1</v>
      </c>
      <c r="D327" t="s">
        <v>281</v>
      </c>
      <c r="E327" t="s">
        <v>1119</v>
      </c>
      <c r="F327" t="s">
        <v>2417</v>
      </c>
      <c r="G327" t="s">
        <v>262</v>
      </c>
      <c r="H327" t="s">
        <v>828</v>
      </c>
      <c r="I327" t="s">
        <v>874</v>
      </c>
      <c r="J327" t="s">
        <v>875</v>
      </c>
      <c r="K327" t="s">
        <v>901</v>
      </c>
      <c r="L327">
        <v>0</v>
      </c>
      <c r="M327">
        <v>2070</v>
      </c>
      <c r="N327">
        <v>45000</v>
      </c>
      <c r="Q327" t="s">
        <v>1282</v>
      </c>
      <c r="S327" t="s">
        <v>1776</v>
      </c>
      <c r="W327" t="s">
        <v>1283</v>
      </c>
      <c r="Y327" t="str">
        <f t="shared" si="26"/>
        <v/>
      </c>
      <c r="Z327" t="str">
        <f>IF(NOT("" = ""), HYPERLINK("", "جولة"), "")</f>
        <v/>
      </c>
      <c r="AA327" t="str">
        <f>IF(NOT("" = ""), HYPERLINK("", "موقع"), "")</f>
        <v/>
      </c>
    </row>
    <row r="328" spans="1:27" x14ac:dyDescent="0.3">
      <c r="A328" t="s">
        <v>1284</v>
      </c>
      <c r="B328" s="1">
        <v>46182.512789351851</v>
      </c>
      <c r="C328" t="s">
        <v>1</v>
      </c>
      <c r="D328" t="s">
        <v>281</v>
      </c>
      <c r="E328" t="s">
        <v>1287</v>
      </c>
      <c r="F328" t="s">
        <v>2418</v>
      </c>
      <c r="G328" t="s">
        <v>262</v>
      </c>
      <c r="H328" t="s">
        <v>828</v>
      </c>
      <c r="I328" t="s">
        <v>874</v>
      </c>
      <c r="J328" t="s">
        <v>1285</v>
      </c>
      <c r="K328" t="s">
        <v>1286</v>
      </c>
      <c r="L328">
        <v>0</v>
      </c>
      <c r="M328">
        <v>1260</v>
      </c>
      <c r="N328">
        <v>88000</v>
      </c>
      <c r="O328">
        <v>31.922917000000002</v>
      </c>
      <c r="P328">
        <v>36.059832999999998</v>
      </c>
      <c r="Q328" t="s">
        <v>1288</v>
      </c>
      <c r="R328" t="s">
        <v>2419</v>
      </c>
      <c r="S328" t="s">
        <v>1828</v>
      </c>
      <c r="U328" t="s">
        <v>2420</v>
      </c>
      <c r="W328" t="s">
        <v>1289</v>
      </c>
      <c r="Y328" t="str">
        <f t="shared" si="26"/>
        <v/>
      </c>
      <c r="Z328" t="str">
        <f>IF(NOT("https://truemarkets3d.net/3d-virtual-tour/housingbank-realestate/phase3/aq-bld-100472/index.html" = ""), HYPERLINK("https://truemarkets3d.net/3d-virtual-tour/housingbank-realestate/phase3/aq-bld-100472/index.html", "جولة"), "")</f>
        <v>جولة</v>
      </c>
      <c r="AA328" t="str">
        <f>IF(NOT("https://maps.app.goo.gl/kCTXZ2VJm3L2ca5e7" = ""), HYPERLINK("https://maps.app.goo.gl/kCTXZ2VJm3L2ca5e7", "موقع"), "")</f>
        <v>موقع</v>
      </c>
    </row>
    <row r="329" spans="1:27" x14ac:dyDescent="0.3">
      <c r="A329" t="s">
        <v>1290</v>
      </c>
      <c r="B329" s="1">
        <v>46182.512789351851</v>
      </c>
      <c r="C329" t="s">
        <v>1</v>
      </c>
      <c r="D329" t="s">
        <v>281</v>
      </c>
      <c r="E329" t="s">
        <v>1292</v>
      </c>
      <c r="F329" t="s">
        <v>2421</v>
      </c>
      <c r="G329" t="s">
        <v>262</v>
      </c>
      <c r="H329" t="s">
        <v>828</v>
      </c>
      <c r="I329" t="s">
        <v>974</v>
      </c>
      <c r="J329" t="s">
        <v>1108</v>
      </c>
      <c r="K329" t="s">
        <v>1291</v>
      </c>
      <c r="L329">
        <v>0</v>
      </c>
      <c r="M329">
        <v>619</v>
      </c>
      <c r="N329">
        <v>88000</v>
      </c>
      <c r="O329">
        <v>32.030749999999998</v>
      </c>
      <c r="P329">
        <v>35.834499999999998</v>
      </c>
      <c r="Q329" t="s">
        <v>1293</v>
      </c>
      <c r="S329" t="s">
        <v>1776</v>
      </c>
      <c r="U329" t="s">
        <v>2422</v>
      </c>
      <c r="W329" t="s">
        <v>1294</v>
      </c>
      <c r="Y329" t="str">
        <f t="shared" si="26"/>
        <v/>
      </c>
      <c r="Z329" t="str">
        <f t="shared" ref="Z329:Z376" si="27">IF(NOT("" = ""), HYPERLINK("", "جولة"), "")</f>
        <v/>
      </c>
      <c r="AA329" t="str">
        <f>IF(NOT("https://maps.app.goo.gl/WFoG8B9wx1pYCBYw8" = ""), HYPERLINK("https://maps.app.goo.gl/WFoG8B9wx1pYCBYw8", "موقع"), "")</f>
        <v>موقع</v>
      </c>
    </row>
    <row r="330" spans="1:27" x14ac:dyDescent="0.3">
      <c r="A330" t="s">
        <v>1295</v>
      </c>
      <c r="B330" s="1">
        <v>46182.512789351851</v>
      </c>
      <c r="C330" t="s">
        <v>1</v>
      </c>
      <c r="D330" t="s">
        <v>281</v>
      </c>
      <c r="E330" t="s">
        <v>883</v>
      </c>
      <c r="F330" t="s">
        <v>2423</v>
      </c>
      <c r="G330" t="s">
        <v>262</v>
      </c>
      <c r="H330" t="s">
        <v>828</v>
      </c>
      <c r="I330" t="s">
        <v>880</v>
      </c>
      <c r="J330" t="s">
        <v>1296</v>
      </c>
      <c r="K330" t="s">
        <v>1297</v>
      </c>
      <c r="L330">
        <v>0</v>
      </c>
      <c r="M330">
        <v>102</v>
      </c>
      <c r="N330">
        <v>100000</v>
      </c>
      <c r="O330">
        <v>31.832944000000001</v>
      </c>
      <c r="P330">
        <v>36.000250000000001</v>
      </c>
      <c r="Q330" t="s">
        <v>1298</v>
      </c>
      <c r="S330" t="s">
        <v>1776</v>
      </c>
      <c r="U330" t="s">
        <v>2424</v>
      </c>
      <c r="W330" t="s">
        <v>1299</v>
      </c>
      <c r="Y330" t="str">
        <f t="shared" si="26"/>
        <v/>
      </c>
      <c r="Z330" t="str">
        <f t="shared" si="27"/>
        <v/>
      </c>
      <c r="AA330" t="str">
        <f>IF(NOT("https://maps.app.goo.gl/coieZUwdi4zRHJkZ8" = ""), HYPERLINK("https://maps.app.goo.gl/coieZUwdi4zRHJkZ8", "موقع"), "")</f>
        <v>موقع</v>
      </c>
    </row>
    <row r="331" spans="1:27" x14ac:dyDescent="0.3">
      <c r="A331" t="s">
        <v>1300</v>
      </c>
      <c r="B331" s="1">
        <v>46182.512789351851</v>
      </c>
      <c r="C331" t="s">
        <v>1</v>
      </c>
      <c r="D331" t="s">
        <v>281</v>
      </c>
      <c r="E331" t="s">
        <v>870</v>
      </c>
      <c r="F331" t="s">
        <v>2425</v>
      </c>
      <c r="G331" t="s">
        <v>262</v>
      </c>
      <c r="H331" t="s">
        <v>828</v>
      </c>
      <c r="I331" t="s">
        <v>860</v>
      </c>
      <c r="J331" t="s">
        <v>861</v>
      </c>
      <c r="K331" t="s">
        <v>1145</v>
      </c>
      <c r="L331">
        <v>0</v>
      </c>
      <c r="M331">
        <v>1178</v>
      </c>
      <c r="N331">
        <v>106000</v>
      </c>
      <c r="O331">
        <v>31.905332999999999</v>
      </c>
      <c r="P331">
        <v>35.946193999999998</v>
      </c>
      <c r="Q331" t="s">
        <v>793</v>
      </c>
      <c r="S331" t="s">
        <v>1776</v>
      </c>
      <c r="U331" t="s">
        <v>2426</v>
      </c>
      <c r="W331" t="s">
        <v>1301</v>
      </c>
      <c r="Y331" t="str">
        <f t="shared" si="26"/>
        <v/>
      </c>
      <c r="Z331" t="str">
        <f t="shared" si="27"/>
        <v/>
      </c>
      <c r="AA331" t="str">
        <f>IF(NOT("https://maps.app.goo.gl/WvAi5SX7Mp81g2B66" = ""), HYPERLINK("https://maps.app.goo.gl/WvAi5SX7Mp81g2B66", "موقع"), "")</f>
        <v>موقع</v>
      </c>
    </row>
    <row r="332" spans="1:27" x14ac:dyDescent="0.3">
      <c r="A332" t="s">
        <v>1302</v>
      </c>
      <c r="B332" s="1">
        <v>46182.512789351851</v>
      </c>
      <c r="C332" t="s">
        <v>1</v>
      </c>
      <c r="D332" t="s">
        <v>281</v>
      </c>
      <c r="E332" t="s">
        <v>1305</v>
      </c>
      <c r="F332" t="s">
        <v>2427</v>
      </c>
      <c r="G332" t="s">
        <v>262</v>
      </c>
      <c r="H332" t="s">
        <v>828</v>
      </c>
      <c r="I332" t="s">
        <v>860</v>
      </c>
      <c r="J332" t="s">
        <v>1303</v>
      </c>
      <c r="K332" t="s">
        <v>1304</v>
      </c>
      <c r="L332">
        <v>0</v>
      </c>
      <c r="M332">
        <v>754</v>
      </c>
      <c r="N332">
        <v>133000</v>
      </c>
      <c r="Q332" t="s">
        <v>1306</v>
      </c>
      <c r="S332" t="s">
        <v>1776</v>
      </c>
      <c r="W332" t="s">
        <v>1307</v>
      </c>
      <c r="Y332" t="str">
        <f t="shared" si="26"/>
        <v/>
      </c>
      <c r="Z332" t="str">
        <f t="shared" si="27"/>
        <v/>
      </c>
      <c r="AA332" t="str">
        <f>IF(NOT("" = ""), HYPERLINK("", "موقع"), "")</f>
        <v/>
      </c>
    </row>
    <row r="333" spans="1:27" x14ac:dyDescent="0.3">
      <c r="A333" t="s">
        <v>1308</v>
      </c>
      <c r="B333" s="1">
        <v>46182.512789351851</v>
      </c>
      <c r="C333" t="s">
        <v>1</v>
      </c>
      <c r="D333" t="s">
        <v>281</v>
      </c>
      <c r="E333" t="s">
        <v>1037</v>
      </c>
      <c r="F333" t="s">
        <v>2428</v>
      </c>
      <c r="G333" t="s">
        <v>262</v>
      </c>
      <c r="H333" t="s">
        <v>828</v>
      </c>
      <c r="I333" t="s">
        <v>860</v>
      </c>
      <c r="J333" t="s">
        <v>1035</v>
      </c>
      <c r="K333" t="s">
        <v>1036</v>
      </c>
      <c r="L333">
        <v>0</v>
      </c>
      <c r="M333">
        <v>1174</v>
      </c>
      <c r="N333">
        <v>169000</v>
      </c>
      <c r="O333">
        <v>31.857389000000001</v>
      </c>
      <c r="P333">
        <v>35.920693999999997</v>
      </c>
      <c r="Q333" t="s">
        <v>1309</v>
      </c>
      <c r="S333" t="s">
        <v>1776</v>
      </c>
      <c r="U333" t="s">
        <v>2429</v>
      </c>
      <c r="W333" t="s">
        <v>1310</v>
      </c>
      <c r="Y333" t="str">
        <f t="shared" si="26"/>
        <v/>
      </c>
      <c r="Z333" t="str">
        <f t="shared" si="27"/>
        <v/>
      </c>
      <c r="AA333" t="str">
        <f>IF(NOT("https://maps.app.goo.gl/tWyaDoSy31YBob8g6" = ""), HYPERLINK("https://maps.app.goo.gl/tWyaDoSy31YBob8g6", "موقع"), "")</f>
        <v>موقع</v>
      </c>
    </row>
    <row r="334" spans="1:27" x14ac:dyDescent="0.3">
      <c r="A334" t="s">
        <v>1311</v>
      </c>
      <c r="B334" s="1">
        <v>46182.512789351851</v>
      </c>
      <c r="C334" t="s">
        <v>1</v>
      </c>
      <c r="D334" t="s">
        <v>281</v>
      </c>
      <c r="E334" t="s">
        <v>1314</v>
      </c>
      <c r="F334" t="s">
        <v>2430</v>
      </c>
      <c r="G334" t="s">
        <v>262</v>
      </c>
      <c r="H334" t="s">
        <v>828</v>
      </c>
      <c r="I334" t="s">
        <v>860</v>
      </c>
      <c r="J334" t="s">
        <v>1312</v>
      </c>
      <c r="K334" t="s">
        <v>1313</v>
      </c>
      <c r="L334">
        <v>0</v>
      </c>
      <c r="M334">
        <v>153</v>
      </c>
      <c r="N334">
        <v>238000</v>
      </c>
      <c r="O334">
        <v>31.855333000000002</v>
      </c>
      <c r="P334">
        <v>36.001832999999998</v>
      </c>
      <c r="Q334" t="s">
        <v>1315</v>
      </c>
      <c r="S334" t="s">
        <v>1776</v>
      </c>
      <c r="U334" t="s">
        <v>2431</v>
      </c>
      <c r="W334" t="s">
        <v>1316</v>
      </c>
      <c r="Y334" t="str">
        <f t="shared" si="26"/>
        <v/>
      </c>
      <c r="Z334" t="str">
        <f t="shared" si="27"/>
        <v/>
      </c>
      <c r="AA334" t="str">
        <f>IF(NOT("https://maps.app.goo.gl/BCCkCtzLbmBDR2Hv8" = ""), HYPERLINK("https://maps.app.goo.gl/BCCkCtzLbmBDR2Hv8", "موقع"), "")</f>
        <v>موقع</v>
      </c>
    </row>
    <row r="335" spans="1:27" x14ac:dyDescent="0.3">
      <c r="A335" t="s">
        <v>1317</v>
      </c>
      <c r="B335" s="1">
        <v>46182.512789351851</v>
      </c>
      <c r="C335" t="s">
        <v>1</v>
      </c>
      <c r="D335" t="s">
        <v>281</v>
      </c>
      <c r="E335" t="s">
        <v>1314</v>
      </c>
      <c r="F335" t="s">
        <v>2432</v>
      </c>
      <c r="G335" t="s">
        <v>262</v>
      </c>
      <c r="H335" t="s">
        <v>828</v>
      </c>
      <c r="I335" t="s">
        <v>860</v>
      </c>
      <c r="J335" t="s">
        <v>1312</v>
      </c>
      <c r="K335" t="s">
        <v>1318</v>
      </c>
      <c r="L335">
        <v>0</v>
      </c>
      <c r="M335">
        <v>246</v>
      </c>
      <c r="N335">
        <v>250000</v>
      </c>
      <c r="O335">
        <v>31.859417000000001</v>
      </c>
      <c r="P335">
        <v>36.004333000000003</v>
      </c>
      <c r="Q335" t="s">
        <v>1319</v>
      </c>
      <c r="S335" t="s">
        <v>1776</v>
      </c>
      <c r="U335" t="s">
        <v>2433</v>
      </c>
      <c r="W335" t="s">
        <v>1320</v>
      </c>
      <c r="Y335" t="str">
        <f t="shared" si="26"/>
        <v/>
      </c>
      <c r="Z335" t="str">
        <f t="shared" si="27"/>
        <v/>
      </c>
      <c r="AA335" t="str">
        <f>IF(NOT("https://maps.app.goo.gl/BnLEFw21ewgdNhkTA" = ""), HYPERLINK("https://maps.app.goo.gl/BnLEFw21ewgdNhkTA", "موقع"), "")</f>
        <v>موقع</v>
      </c>
    </row>
    <row r="336" spans="1:27" x14ac:dyDescent="0.3">
      <c r="A336" t="s">
        <v>1321</v>
      </c>
      <c r="B336" s="1">
        <v>46182.512789351851</v>
      </c>
      <c r="C336" t="s">
        <v>1</v>
      </c>
      <c r="D336" t="s">
        <v>391</v>
      </c>
      <c r="E336" t="s">
        <v>1305</v>
      </c>
      <c r="F336" t="s">
        <v>2434</v>
      </c>
      <c r="G336" t="s">
        <v>390</v>
      </c>
      <c r="H336" t="s">
        <v>828</v>
      </c>
      <c r="I336" t="s">
        <v>860</v>
      </c>
      <c r="J336" t="s">
        <v>1303</v>
      </c>
      <c r="K336" t="s">
        <v>1322</v>
      </c>
      <c r="L336">
        <v>0</v>
      </c>
      <c r="M336">
        <v>60</v>
      </c>
      <c r="N336">
        <v>20000</v>
      </c>
      <c r="O336">
        <v>31.827472</v>
      </c>
      <c r="P336">
        <v>35.965778</v>
      </c>
      <c r="Q336" t="s">
        <v>1323</v>
      </c>
      <c r="S336" t="s">
        <v>1776</v>
      </c>
      <c r="T336" t="s">
        <v>2435</v>
      </c>
      <c r="U336" t="s">
        <v>2436</v>
      </c>
      <c r="W336" t="s">
        <v>1324</v>
      </c>
      <c r="Y336" t="str">
        <f t="shared" si="26"/>
        <v/>
      </c>
      <c r="Z336" t="str">
        <f t="shared" si="27"/>
        <v/>
      </c>
      <c r="AA336" t="str">
        <f>IF(NOT("https://maps.app.goo.gl/xWvhhPpLzNgGCCHT6" = ""), HYPERLINK("https://maps.app.goo.gl/xWvhhPpLzNgGCCHT6", "موقع"), "")</f>
        <v>موقع</v>
      </c>
    </row>
    <row r="337" spans="1:27" x14ac:dyDescent="0.3">
      <c r="A337" t="s">
        <v>1325</v>
      </c>
      <c r="B337" s="1">
        <v>46182.512789351851</v>
      </c>
      <c r="C337" t="s">
        <v>1</v>
      </c>
      <c r="D337" t="s">
        <v>391</v>
      </c>
      <c r="E337" t="s">
        <v>1305</v>
      </c>
      <c r="F337" t="s">
        <v>2437</v>
      </c>
      <c r="G337" t="s">
        <v>390</v>
      </c>
      <c r="H337" t="s">
        <v>828</v>
      </c>
      <c r="I337" t="s">
        <v>860</v>
      </c>
      <c r="J337" t="s">
        <v>1303</v>
      </c>
      <c r="K337" t="s">
        <v>1322</v>
      </c>
      <c r="L337">
        <v>0</v>
      </c>
      <c r="M337">
        <v>80</v>
      </c>
      <c r="N337">
        <v>21000</v>
      </c>
      <c r="O337">
        <v>31.828056</v>
      </c>
      <c r="P337">
        <v>35.965167000000001</v>
      </c>
      <c r="Q337" t="s">
        <v>1326</v>
      </c>
      <c r="S337" t="s">
        <v>1776</v>
      </c>
      <c r="T337" t="s">
        <v>2438</v>
      </c>
      <c r="U337" t="s">
        <v>2439</v>
      </c>
      <c r="W337" t="s">
        <v>1327</v>
      </c>
      <c r="Y337" t="str">
        <f t="shared" si="26"/>
        <v/>
      </c>
      <c r="Z337" t="str">
        <f t="shared" si="27"/>
        <v/>
      </c>
      <c r="AA337" t="str">
        <f>IF(NOT("https://maps.app.goo.gl/Gtpt8xaACQYT3XueA" = ""), HYPERLINK("https://maps.app.goo.gl/Gtpt8xaACQYT3XueA", "موقع"), "")</f>
        <v>موقع</v>
      </c>
    </row>
    <row r="338" spans="1:27" x14ac:dyDescent="0.3">
      <c r="A338" t="s">
        <v>1328</v>
      </c>
      <c r="B338" s="1">
        <v>46182.512789351851</v>
      </c>
      <c r="C338" t="s">
        <v>1</v>
      </c>
      <c r="D338" t="s">
        <v>391</v>
      </c>
      <c r="E338" t="s">
        <v>1330</v>
      </c>
      <c r="F338" t="s">
        <v>2440</v>
      </c>
      <c r="G338" t="s">
        <v>390</v>
      </c>
      <c r="H338" t="s">
        <v>828</v>
      </c>
      <c r="I338" t="s">
        <v>974</v>
      </c>
      <c r="J338" t="s">
        <v>1019</v>
      </c>
      <c r="K338" t="s">
        <v>1329</v>
      </c>
      <c r="L338">
        <v>0</v>
      </c>
      <c r="M338">
        <v>397</v>
      </c>
      <c r="N338">
        <v>23000</v>
      </c>
      <c r="Q338" t="s">
        <v>1331</v>
      </c>
      <c r="S338" t="s">
        <v>1776</v>
      </c>
      <c r="W338" t="s">
        <v>1332</v>
      </c>
      <c r="Y338" t="str">
        <f t="shared" si="26"/>
        <v/>
      </c>
      <c r="Z338" t="str">
        <f t="shared" si="27"/>
        <v/>
      </c>
      <c r="AA338" t="str">
        <f>IF(NOT("" = ""), HYPERLINK("", "موقع"), "")</f>
        <v/>
      </c>
    </row>
    <row r="339" spans="1:27" x14ac:dyDescent="0.3">
      <c r="A339" t="s">
        <v>1333</v>
      </c>
      <c r="B339" s="1">
        <v>46182.512789351851</v>
      </c>
      <c r="C339" t="s">
        <v>1</v>
      </c>
      <c r="D339" t="s">
        <v>391</v>
      </c>
      <c r="E339" t="s">
        <v>1305</v>
      </c>
      <c r="F339" t="s">
        <v>2441</v>
      </c>
      <c r="G339" t="s">
        <v>390</v>
      </c>
      <c r="H339" t="s">
        <v>828</v>
      </c>
      <c r="I339" t="s">
        <v>860</v>
      </c>
      <c r="J339" t="s">
        <v>1303</v>
      </c>
      <c r="K339" t="s">
        <v>1322</v>
      </c>
      <c r="L339">
        <v>0</v>
      </c>
      <c r="M339">
        <v>61</v>
      </c>
      <c r="N339">
        <v>23000</v>
      </c>
      <c r="O339">
        <v>31.827193999999999</v>
      </c>
      <c r="P339">
        <v>35.965639000000003</v>
      </c>
      <c r="Q339" t="s">
        <v>790</v>
      </c>
      <c r="S339" t="s">
        <v>1776</v>
      </c>
      <c r="T339" t="s">
        <v>2435</v>
      </c>
      <c r="U339" t="s">
        <v>2442</v>
      </c>
      <c r="W339" t="s">
        <v>1334</v>
      </c>
      <c r="Y339" t="str">
        <f t="shared" si="26"/>
        <v/>
      </c>
      <c r="Z339" t="str">
        <f t="shared" si="27"/>
        <v/>
      </c>
      <c r="AA339" t="str">
        <f>IF(NOT("https://maps.app.goo.gl/jYJ6GS7CYZLeL1ci8" = ""), HYPERLINK("https://maps.app.goo.gl/jYJ6GS7CYZLeL1ci8", "موقع"), "")</f>
        <v>موقع</v>
      </c>
    </row>
    <row r="340" spans="1:27" x14ac:dyDescent="0.3">
      <c r="A340" t="s">
        <v>1335</v>
      </c>
      <c r="B340" s="1">
        <v>46182.512789351851</v>
      </c>
      <c r="C340" t="s">
        <v>1</v>
      </c>
      <c r="D340" t="s">
        <v>391</v>
      </c>
      <c r="E340" t="s">
        <v>1305</v>
      </c>
      <c r="F340" t="s">
        <v>2443</v>
      </c>
      <c r="G340" t="s">
        <v>390</v>
      </c>
      <c r="H340" t="s">
        <v>828</v>
      </c>
      <c r="I340" t="s">
        <v>860</v>
      </c>
      <c r="J340" t="s">
        <v>1303</v>
      </c>
      <c r="K340" t="s">
        <v>1322</v>
      </c>
      <c r="L340">
        <v>0</v>
      </c>
      <c r="M340">
        <v>70</v>
      </c>
      <c r="N340">
        <v>25000</v>
      </c>
      <c r="O340">
        <v>31.827694000000001</v>
      </c>
      <c r="P340">
        <v>35.965443999999998</v>
      </c>
      <c r="Q340" t="s">
        <v>1336</v>
      </c>
      <c r="S340" t="s">
        <v>1776</v>
      </c>
      <c r="T340" t="s">
        <v>2435</v>
      </c>
      <c r="U340" t="s">
        <v>2444</v>
      </c>
      <c r="W340" t="s">
        <v>1337</v>
      </c>
      <c r="Y340" t="str">
        <f t="shared" si="26"/>
        <v/>
      </c>
      <c r="Z340" t="str">
        <f t="shared" si="27"/>
        <v/>
      </c>
      <c r="AA340" t="str">
        <f>IF(NOT("https://maps.app.goo.gl/LjLqjmFroMsT1p427" = ""), HYPERLINK("https://maps.app.goo.gl/LjLqjmFroMsT1p427", "موقع"), "")</f>
        <v>موقع</v>
      </c>
    </row>
    <row r="341" spans="1:27" x14ac:dyDescent="0.3">
      <c r="A341" t="s">
        <v>1338</v>
      </c>
      <c r="B341" s="1">
        <v>46182.512789351851</v>
      </c>
      <c r="C341" t="s">
        <v>1</v>
      </c>
      <c r="D341" t="s">
        <v>391</v>
      </c>
      <c r="E341" t="s">
        <v>1305</v>
      </c>
      <c r="F341" t="s">
        <v>2445</v>
      </c>
      <c r="G341" t="s">
        <v>390</v>
      </c>
      <c r="H341" t="s">
        <v>828</v>
      </c>
      <c r="I341" t="s">
        <v>860</v>
      </c>
      <c r="J341" t="s">
        <v>1303</v>
      </c>
      <c r="K341" t="s">
        <v>1322</v>
      </c>
      <c r="L341">
        <v>0</v>
      </c>
      <c r="M341">
        <v>45</v>
      </c>
      <c r="N341">
        <v>27000</v>
      </c>
      <c r="O341">
        <v>31.828555999999999</v>
      </c>
      <c r="P341">
        <v>35.966222000000002</v>
      </c>
      <c r="Q341" t="s">
        <v>1339</v>
      </c>
      <c r="S341" t="s">
        <v>1776</v>
      </c>
      <c r="T341" t="s">
        <v>2435</v>
      </c>
      <c r="U341" t="s">
        <v>2446</v>
      </c>
      <c r="W341" t="s">
        <v>1340</v>
      </c>
      <c r="Y341" t="str">
        <f t="shared" si="26"/>
        <v/>
      </c>
      <c r="Z341" t="str">
        <f t="shared" si="27"/>
        <v/>
      </c>
      <c r="AA341" t="str">
        <f>IF(NOT("https://maps.app.goo.gl/MnzGw7gXvVmfvBmLA" = ""), HYPERLINK("https://maps.app.goo.gl/MnzGw7gXvVmfvBmLA", "موقع"), "")</f>
        <v>موقع</v>
      </c>
    </row>
    <row r="342" spans="1:27" x14ac:dyDescent="0.3">
      <c r="A342" t="s">
        <v>1341</v>
      </c>
      <c r="B342" s="1">
        <v>46182.512789351851</v>
      </c>
      <c r="C342" t="s">
        <v>1</v>
      </c>
      <c r="D342" t="s">
        <v>391</v>
      </c>
      <c r="E342" t="s">
        <v>1021</v>
      </c>
      <c r="F342" t="s">
        <v>2447</v>
      </c>
      <c r="G342" t="s">
        <v>390</v>
      </c>
      <c r="H342" t="s">
        <v>828</v>
      </c>
      <c r="I342" t="s">
        <v>974</v>
      </c>
      <c r="J342" t="s">
        <v>1019</v>
      </c>
      <c r="K342" t="s">
        <v>1329</v>
      </c>
      <c r="L342">
        <v>0</v>
      </c>
      <c r="M342">
        <v>404</v>
      </c>
      <c r="N342">
        <v>29000</v>
      </c>
      <c r="Q342" t="s">
        <v>1342</v>
      </c>
      <c r="S342" t="s">
        <v>1776</v>
      </c>
      <c r="W342" t="s">
        <v>1343</v>
      </c>
      <c r="Y342" t="str">
        <f t="shared" si="26"/>
        <v/>
      </c>
      <c r="Z342" t="str">
        <f t="shared" si="27"/>
        <v/>
      </c>
      <c r="AA342" t="str">
        <f>IF(NOT("" = ""), HYPERLINK("", "موقع"), "")</f>
        <v/>
      </c>
    </row>
    <row r="343" spans="1:27" x14ac:dyDescent="0.3">
      <c r="A343" t="s">
        <v>1344</v>
      </c>
      <c r="B343" s="1">
        <v>46182.512789351851</v>
      </c>
      <c r="C343" t="s">
        <v>1</v>
      </c>
      <c r="D343" t="s">
        <v>391</v>
      </c>
      <c r="E343" t="s">
        <v>1347</v>
      </c>
      <c r="F343" t="s">
        <v>2448</v>
      </c>
      <c r="G343" t="s">
        <v>390</v>
      </c>
      <c r="H343" t="s">
        <v>828</v>
      </c>
      <c r="I343" t="s">
        <v>860</v>
      </c>
      <c r="J343" t="s">
        <v>1345</v>
      </c>
      <c r="K343" t="s">
        <v>1346</v>
      </c>
      <c r="M343">
        <v>855</v>
      </c>
      <c r="N343">
        <v>30000</v>
      </c>
      <c r="Q343" t="s">
        <v>1348</v>
      </c>
      <c r="S343" t="s">
        <v>1776</v>
      </c>
      <c r="W343" t="s">
        <v>1349</v>
      </c>
      <c r="Y343" t="str">
        <f t="shared" si="26"/>
        <v/>
      </c>
      <c r="Z343" t="str">
        <f t="shared" si="27"/>
        <v/>
      </c>
      <c r="AA343" t="str">
        <f>IF(NOT("" = ""), HYPERLINK("", "موقع"), "")</f>
        <v/>
      </c>
    </row>
    <row r="344" spans="1:27" x14ac:dyDescent="0.3">
      <c r="A344" t="s">
        <v>1350</v>
      </c>
      <c r="B344" s="1">
        <v>46182.512789351851</v>
      </c>
      <c r="C344" t="s">
        <v>1</v>
      </c>
      <c r="D344" t="s">
        <v>391</v>
      </c>
      <c r="E344" t="s">
        <v>1305</v>
      </c>
      <c r="F344" t="s">
        <v>2449</v>
      </c>
      <c r="G344" t="s">
        <v>390</v>
      </c>
      <c r="H344" t="s">
        <v>828</v>
      </c>
      <c r="I344" t="s">
        <v>860</v>
      </c>
      <c r="J344" t="s">
        <v>1303</v>
      </c>
      <c r="K344" t="s">
        <v>1322</v>
      </c>
      <c r="L344">
        <v>0</v>
      </c>
      <c r="M344">
        <v>74</v>
      </c>
      <c r="N344">
        <v>31000</v>
      </c>
      <c r="O344">
        <v>31.826917000000002</v>
      </c>
      <c r="P344">
        <v>35.965027999999997</v>
      </c>
      <c r="Q344" t="s">
        <v>1351</v>
      </c>
      <c r="S344" t="s">
        <v>1776</v>
      </c>
      <c r="T344" t="s">
        <v>2435</v>
      </c>
      <c r="U344" t="s">
        <v>2450</v>
      </c>
      <c r="W344" t="s">
        <v>1352</v>
      </c>
      <c r="Y344" t="str">
        <f t="shared" si="26"/>
        <v/>
      </c>
      <c r="Z344" t="str">
        <f t="shared" si="27"/>
        <v/>
      </c>
      <c r="AA344" t="str">
        <f>IF(NOT("https://maps.app.goo.gl/v9f3f9AzTj5z6k2M8" = ""), HYPERLINK("https://maps.app.goo.gl/v9f3f9AzTj5z6k2M8", "موقع"), "")</f>
        <v>موقع</v>
      </c>
    </row>
    <row r="345" spans="1:27" x14ac:dyDescent="0.3">
      <c r="A345" t="s">
        <v>1353</v>
      </c>
      <c r="B345" s="1">
        <v>46182.512789351851</v>
      </c>
      <c r="C345" t="s">
        <v>1</v>
      </c>
      <c r="D345" t="s">
        <v>391</v>
      </c>
      <c r="E345" t="s">
        <v>1314</v>
      </c>
      <c r="F345" t="s">
        <v>2451</v>
      </c>
      <c r="G345" t="s">
        <v>390</v>
      </c>
      <c r="H345" t="s">
        <v>828</v>
      </c>
      <c r="I345" t="s">
        <v>860</v>
      </c>
      <c r="J345" t="s">
        <v>1312</v>
      </c>
      <c r="K345" t="s">
        <v>1354</v>
      </c>
      <c r="L345">
        <v>0</v>
      </c>
      <c r="M345">
        <v>486</v>
      </c>
      <c r="N345">
        <v>40000</v>
      </c>
      <c r="Q345" t="s">
        <v>1355</v>
      </c>
      <c r="S345" t="s">
        <v>1776</v>
      </c>
      <c r="W345" t="s">
        <v>1356</v>
      </c>
      <c r="Y345" t="str">
        <f t="shared" si="26"/>
        <v/>
      </c>
      <c r="Z345" t="str">
        <f t="shared" si="27"/>
        <v/>
      </c>
      <c r="AA345" t="str">
        <f>IF(NOT("" = ""), HYPERLINK("", "موقع"), "")</f>
        <v/>
      </c>
    </row>
    <row r="346" spans="1:27" x14ac:dyDescent="0.3">
      <c r="A346" t="s">
        <v>1357</v>
      </c>
      <c r="B346" s="1">
        <v>46182.512789351851</v>
      </c>
      <c r="C346" t="s">
        <v>1</v>
      </c>
      <c r="D346" t="s">
        <v>391</v>
      </c>
      <c r="E346" t="s">
        <v>1084</v>
      </c>
      <c r="F346" t="s">
        <v>2452</v>
      </c>
      <c r="G346" t="s">
        <v>390</v>
      </c>
      <c r="H346" t="s">
        <v>828</v>
      </c>
      <c r="I346" t="s">
        <v>860</v>
      </c>
      <c r="J346" t="s">
        <v>861</v>
      </c>
      <c r="K346" t="s">
        <v>1083</v>
      </c>
      <c r="L346">
        <v>0</v>
      </c>
      <c r="M346">
        <v>2179</v>
      </c>
      <c r="N346">
        <v>42000</v>
      </c>
      <c r="O346">
        <v>31.925611</v>
      </c>
      <c r="P346">
        <v>35.974139000000001</v>
      </c>
      <c r="Q346" t="s">
        <v>1358</v>
      </c>
      <c r="S346" t="s">
        <v>1776</v>
      </c>
      <c r="T346" t="s">
        <v>2453</v>
      </c>
      <c r="U346" t="s">
        <v>2454</v>
      </c>
      <c r="W346" t="s">
        <v>1359</v>
      </c>
      <c r="Y346" t="str">
        <f t="shared" si="26"/>
        <v/>
      </c>
      <c r="Z346" t="str">
        <f t="shared" si="27"/>
        <v/>
      </c>
      <c r="AA346" t="str">
        <f>IF(NOT("https://maps.app.goo.gl/gqfMFVdFKwuCKU136" = ""), HYPERLINK("https://maps.app.goo.gl/gqfMFVdFKwuCKU136", "موقع"), "")</f>
        <v>موقع</v>
      </c>
    </row>
    <row r="347" spans="1:27" x14ac:dyDescent="0.3">
      <c r="A347" t="s">
        <v>1360</v>
      </c>
      <c r="B347" s="1">
        <v>46182.512789351851</v>
      </c>
      <c r="C347" t="s">
        <v>1</v>
      </c>
      <c r="D347" t="s">
        <v>391</v>
      </c>
      <c r="E347" t="s">
        <v>1347</v>
      </c>
      <c r="F347" t="s">
        <v>2448</v>
      </c>
      <c r="G347" t="s">
        <v>390</v>
      </c>
      <c r="H347" t="s">
        <v>828</v>
      </c>
      <c r="I347" t="s">
        <v>860</v>
      </c>
      <c r="J347" t="s">
        <v>1345</v>
      </c>
      <c r="K347" t="s">
        <v>1361</v>
      </c>
      <c r="M347">
        <v>369</v>
      </c>
      <c r="N347">
        <v>43000</v>
      </c>
      <c r="Q347" t="s">
        <v>1362</v>
      </c>
      <c r="S347" t="s">
        <v>1776</v>
      </c>
      <c r="W347" t="s">
        <v>1363</v>
      </c>
      <c r="Y347" t="str">
        <f t="shared" si="26"/>
        <v/>
      </c>
      <c r="Z347" t="str">
        <f t="shared" si="27"/>
        <v/>
      </c>
      <c r="AA347" t="str">
        <f t="shared" ref="AA347:AA356" si="28">IF(NOT("" = ""), HYPERLINK("", "موقع"), "")</f>
        <v/>
      </c>
    </row>
    <row r="348" spans="1:27" x14ac:dyDescent="0.3">
      <c r="A348" t="s">
        <v>1364</v>
      </c>
      <c r="B348" s="1">
        <v>46182.512789351851</v>
      </c>
      <c r="C348" t="s">
        <v>1</v>
      </c>
      <c r="D348" t="s">
        <v>391</v>
      </c>
      <c r="E348" t="s">
        <v>1347</v>
      </c>
      <c r="F348" t="s">
        <v>2448</v>
      </c>
      <c r="G348" t="s">
        <v>390</v>
      </c>
      <c r="H348" t="s">
        <v>828</v>
      </c>
      <c r="I348" t="s">
        <v>860</v>
      </c>
      <c r="J348" t="s">
        <v>1345</v>
      </c>
      <c r="K348" t="s">
        <v>1361</v>
      </c>
      <c r="L348">
        <v>0</v>
      </c>
      <c r="M348">
        <v>368</v>
      </c>
      <c r="N348">
        <v>43000</v>
      </c>
      <c r="Q348" t="s">
        <v>1362</v>
      </c>
      <c r="S348" t="s">
        <v>1776</v>
      </c>
      <c r="W348" t="s">
        <v>1363</v>
      </c>
      <c r="Y348" t="str">
        <f t="shared" si="26"/>
        <v/>
      </c>
      <c r="Z348" t="str">
        <f t="shared" si="27"/>
        <v/>
      </c>
      <c r="AA348" t="str">
        <f t="shared" si="28"/>
        <v/>
      </c>
    </row>
    <row r="349" spans="1:27" x14ac:dyDescent="0.3">
      <c r="A349" t="s">
        <v>1365</v>
      </c>
      <c r="B349" s="1">
        <v>46182.512789351851</v>
      </c>
      <c r="C349" t="s">
        <v>1</v>
      </c>
      <c r="D349" t="s">
        <v>391</v>
      </c>
      <c r="E349" t="s">
        <v>1347</v>
      </c>
      <c r="F349" t="s">
        <v>2448</v>
      </c>
      <c r="G349" t="s">
        <v>390</v>
      </c>
      <c r="H349" t="s">
        <v>828</v>
      </c>
      <c r="I349" t="s">
        <v>860</v>
      </c>
      <c r="J349" t="s">
        <v>1345</v>
      </c>
      <c r="K349" t="s">
        <v>1361</v>
      </c>
      <c r="L349">
        <v>0</v>
      </c>
      <c r="M349">
        <v>366</v>
      </c>
      <c r="N349">
        <v>43000</v>
      </c>
      <c r="Q349" t="s">
        <v>1362</v>
      </c>
      <c r="S349" t="s">
        <v>1776</v>
      </c>
      <c r="W349" t="s">
        <v>1363</v>
      </c>
      <c r="Y349" t="str">
        <f t="shared" si="26"/>
        <v/>
      </c>
      <c r="Z349" t="str">
        <f t="shared" si="27"/>
        <v/>
      </c>
      <c r="AA349" t="str">
        <f t="shared" si="28"/>
        <v/>
      </c>
    </row>
    <row r="350" spans="1:27" x14ac:dyDescent="0.3">
      <c r="A350" t="s">
        <v>1366</v>
      </c>
      <c r="B350" s="1">
        <v>46182.512789351851</v>
      </c>
      <c r="C350" t="s">
        <v>1</v>
      </c>
      <c r="D350" t="s">
        <v>391</v>
      </c>
      <c r="E350" t="s">
        <v>1347</v>
      </c>
      <c r="F350" t="s">
        <v>2448</v>
      </c>
      <c r="G350" t="s">
        <v>390</v>
      </c>
      <c r="H350" t="s">
        <v>828</v>
      </c>
      <c r="I350" t="s">
        <v>860</v>
      </c>
      <c r="J350" t="s">
        <v>1345</v>
      </c>
      <c r="K350" t="s">
        <v>1361</v>
      </c>
      <c r="M350">
        <v>365</v>
      </c>
      <c r="N350">
        <v>43000</v>
      </c>
      <c r="Q350" t="s">
        <v>1362</v>
      </c>
      <c r="S350" t="s">
        <v>1776</v>
      </c>
      <c r="W350" t="s">
        <v>1363</v>
      </c>
      <c r="Y350" t="str">
        <f t="shared" si="26"/>
        <v/>
      </c>
      <c r="Z350" t="str">
        <f t="shared" si="27"/>
        <v/>
      </c>
      <c r="AA350" t="str">
        <f t="shared" si="28"/>
        <v/>
      </c>
    </row>
    <row r="351" spans="1:27" x14ac:dyDescent="0.3">
      <c r="A351" t="s">
        <v>1367</v>
      </c>
      <c r="B351" s="1">
        <v>46182.512789351851</v>
      </c>
      <c r="C351" t="s">
        <v>1</v>
      </c>
      <c r="D351" t="s">
        <v>391</v>
      </c>
      <c r="E351" t="s">
        <v>1347</v>
      </c>
      <c r="F351" t="s">
        <v>2448</v>
      </c>
      <c r="G351" t="s">
        <v>390</v>
      </c>
      <c r="H351" t="s">
        <v>828</v>
      </c>
      <c r="I351" t="s">
        <v>860</v>
      </c>
      <c r="J351" t="s">
        <v>1345</v>
      </c>
      <c r="K351" t="s">
        <v>1361</v>
      </c>
      <c r="M351">
        <v>367</v>
      </c>
      <c r="N351">
        <v>43000</v>
      </c>
      <c r="Q351" t="s">
        <v>1362</v>
      </c>
      <c r="S351" t="s">
        <v>1776</v>
      </c>
      <c r="W351" t="s">
        <v>1363</v>
      </c>
      <c r="Y351" t="str">
        <f t="shared" si="26"/>
        <v/>
      </c>
      <c r="Z351" t="str">
        <f t="shared" si="27"/>
        <v/>
      </c>
      <c r="AA351" t="str">
        <f t="shared" si="28"/>
        <v/>
      </c>
    </row>
    <row r="352" spans="1:27" x14ac:dyDescent="0.3">
      <c r="A352" t="s">
        <v>1368</v>
      </c>
      <c r="B352" s="1">
        <v>46182.512789351851</v>
      </c>
      <c r="C352" t="s">
        <v>1</v>
      </c>
      <c r="D352" t="s">
        <v>391</v>
      </c>
      <c r="E352" t="s">
        <v>1347</v>
      </c>
      <c r="F352" t="s">
        <v>2448</v>
      </c>
      <c r="G352" t="s">
        <v>390</v>
      </c>
      <c r="H352" t="s">
        <v>828</v>
      </c>
      <c r="I352" t="s">
        <v>860</v>
      </c>
      <c r="J352" t="s">
        <v>1345</v>
      </c>
      <c r="K352" t="s">
        <v>1361</v>
      </c>
      <c r="M352">
        <v>373</v>
      </c>
      <c r="N352">
        <v>52000</v>
      </c>
      <c r="Q352" t="s">
        <v>1369</v>
      </c>
      <c r="S352" t="s">
        <v>1776</v>
      </c>
      <c r="W352" t="s">
        <v>1370</v>
      </c>
      <c r="Y352" t="str">
        <f t="shared" si="26"/>
        <v/>
      </c>
      <c r="Z352" t="str">
        <f t="shared" si="27"/>
        <v/>
      </c>
      <c r="AA352" t="str">
        <f t="shared" si="28"/>
        <v/>
      </c>
    </row>
    <row r="353" spans="1:27" x14ac:dyDescent="0.3">
      <c r="A353" t="s">
        <v>1371</v>
      </c>
      <c r="B353" s="1">
        <v>46182.512789351851</v>
      </c>
      <c r="C353" t="s">
        <v>1</v>
      </c>
      <c r="D353" t="s">
        <v>391</v>
      </c>
      <c r="E353" t="s">
        <v>1347</v>
      </c>
      <c r="F353" t="s">
        <v>2448</v>
      </c>
      <c r="G353" t="s">
        <v>390</v>
      </c>
      <c r="H353" t="s">
        <v>828</v>
      </c>
      <c r="I353" t="s">
        <v>860</v>
      </c>
      <c r="J353" t="s">
        <v>1345</v>
      </c>
      <c r="K353" t="s">
        <v>1361</v>
      </c>
      <c r="M353">
        <v>371</v>
      </c>
      <c r="N353">
        <v>52000</v>
      </c>
      <c r="Q353" t="s">
        <v>1369</v>
      </c>
      <c r="S353" t="s">
        <v>1776</v>
      </c>
      <c r="W353" t="s">
        <v>1370</v>
      </c>
      <c r="Y353" t="str">
        <f t="shared" si="26"/>
        <v/>
      </c>
      <c r="Z353" t="str">
        <f t="shared" si="27"/>
        <v/>
      </c>
      <c r="AA353" t="str">
        <f t="shared" si="28"/>
        <v/>
      </c>
    </row>
    <row r="354" spans="1:27" x14ac:dyDescent="0.3">
      <c r="A354" t="s">
        <v>1372</v>
      </c>
      <c r="B354" s="1">
        <v>46182.512789351851</v>
      </c>
      <c r="C354" t="s">
        <v>1</v>
      </c>
      <c r="D354" t="s">
        <v>391</v>
      </c>
      <c r="E354" t="s">
        <v>1347</v>
      </c>
      <c r="F354" t="s">
        <v>2448</v>
      </c>
      <c r="G354" t="s">
        <v>390</v>
      </c>
      <c r="H354" t="s">
        <v>828</v>
      </c>
      <c r="I354" t="s">
        <v>860</v>
      </c>
      <c r="J354" t="s">
        <v>1345</v>
      </c>
      <c r="K354" t="s">
        <v>1361</v>
      </c>
      <c r="L354">
        <v>0</v>
      </c>
      <c r="M354">
        <v>372</v>
      </c>
      <c r="N354">
        <v>52000</v>
      </c>
      <c r="Q354" t="s">
        <v>1369</v>
      </c>
      <c r="S354" t="s">
        <v>1776</v>
      </c>
      <c r="W354" t="s">
        <v>1370</v>
      </c>
      <c r="Y354" t="str">
        <f t="shared" si="26"/>
        <v/>
      </c>
      <c r="Z354" t="str">
        <f t="shared" si="27"/>
        <v/>
      </c>
      <c r="AA354" t="str">
        <f t="shared" si="28"/>
        <v/>
      </c>
    </row>
    <row r="355" spans="1:27" x14ac:dyDescent="0.3">
      <c r="A355" t="s">
        <v>1373</v>
      </c>
      <c r="B355" s="1">
        <v>46182.512789351851</v>
      </c>
      <c r="C355" t="s">
        <v>1</v>
      </c>
      <c r="D355" t="s">
        <v>391</v>
      </c>
      <c r="E355" t="s">
        <v>1347</v>
      </c>
      <c r="F355" t="s">
        <v>2448</v>
      </c>
      <c r="G355" t="s">
        <v>390</v>
      </c>
      <c r="H355" t="s">
        <v>828</v>
      </c>
      <c r="I355" t="s">
        <v>860</v>
      </c>
      <c r="J355" t="s">
        <v>1345</v>
      </c>
      <c r="K355" t="s">
        <v>1361</v>
      </c>
      <c r="M355">
        <v>370</v>
      </c>
      <c r="N355">
        <v>57000</v>
      </c>
      <c r="Q355" t="s">
        <v>1369</v>
      </c>
      <c r="S355" t="s">
        <v>1776</v>
      </c>
      <c r="W355" t="s">
        <v>1370</v>
      </c>
      <c r="Y355" t="str">
        <f t="shared" ref="Y355:Y386" si="29">IF(NOT("" = ""), HYPERLINK("", "فيديو"), "")</f>
        <v/>
      </c>
      <c r="Z355" t="str">
        <f t="shared" si="27"/>
        <v/>
      </c>
      <c r="AA355" t="str">
        <f t="shared" si="28"/>
        <v/>
      </c>
    </row>
    <row r="356" spans="1:27" x14ac:dyDescent="0.3">
      <c r="A356" t="s">
        <v>1374</v>
      </c>
      <c r="B356" s="1">
        <v>46182.512789351851</v>
      </c>
      <c r="C356" t="s">
        <v>1</v>
      </c>
      <c r="D356" t="s">
        <v>391</v>
      </c>
      <c r="E356" t="s">
        <v>1347</v>
      </c>
      <c r="F356" t="s">
        <v>2448</v>
      </c>
      <c r="G356" t="s">
        <v>390</v>
      </c>
      <c r="H356" t="s">
        <v>828</v>
      </c>
      <c r="I356" t="s">
        <v>860</v>
      </c>
      <c r="J356" t="s">
        <v>1345</v>
      </c>
      <c r="K356" t="s">
        <v>1361</v>
      </c>
      <c r="M356">
        <v>374</v>
      </c>
      <c r="N356">
        <v>57000</v>
      </c>
      <c r="Q356" t="s">
        <v>1369</v>
      </c>
      <c r="S356" t="s">
        <v>1776</v>
      </c>
      <c r="W356" t="s">
        <v>1370</v>
      </c>
      <c r="Y356" t="str">
        <f t="shared" si="29"/>
        <v/>
      </c>
      <c r="Z356" t="str">
        <f t="shared" si="27"/>
        <v/>
      </c>
      <c r="AA356" t="str">
        <f t="shared" si="28"/>
        <v/>
      </c>
    </row>
    <row r="357" spans="1:27" x14ac:dyDescent="0.3">
      <c r="A357" t="s">
        <v>1375</v>
      </c>
      <c r="B357" s="1">
        <v>46182.512789351851</v>
      </c>
      <c r="C357" t="s">
        <v>1</v>
      </c>
      <c r="D357" t="s">
        <v>391</v>
      </c>
      <c r="E357" t="s">
        <v>1021</v>
      </c>
      <c r="F357" t="s">
        <v>2455</v>
      </c>
      <c r="G357" t="s">
        <v>390</v>
      </c>
      <c r="H357" t="s">
        <v>828</v>
      </c>
      <c r="I357" t="s">
        <v>974</v>
      </c>
      <c r="J357" t="s">
        <v>1019</v>
      </c>
      <c r="K357" t="s">
        <v>79</v>
      </c>
      <c r="L357">
        <v>0</v>
      </c>
      <c r="M357">
        <v>96</v>
      </c>
      <c r="N357">
        <v>63000</v>
      </c>
      <c r="O357">
        <v>32.075611000000002</v>
      </c>
      <c r="P357">
        <v>35.862056000000003</v>
      </c>
      <c r="Q357" t="s">
        <v>1376</v>
      </c>
      <c r="S357" t="s">
        <v>1776</v>
      </c>
      <c r="T357" t="s">
        <v>2456</v>
      </c>
      <c r="U357" t="s">
        <v>2457</v>
      </c>
      <c r="W357" t="s">
        <v>1377</v>
      </c>
      <c r="Y357" t="str">
        <f t="shared" si="29"/>
        <v/>
      </c>
      <c r="Z357" t="str">
        <f t="shared" si="27"/>
        <v/>
      </c>
      <c r="AA357" t="str">
        <f>IF(NOT("https://maps.app.goo.gl/YPSQLb655B6h7NoW7" = ""), HYPERLINK("https://maps.app.goo.gl/YPSQLb655B6h7NoW7", "موقع"), "")</f>
        <v>موقع</v>
      </c>
    </row>
    <row r="358" spans="1:27" x14ac:dyDescent="0.3">
      <c r="A358" t="s">
        <v>1378</v>
      </c>
      <c r="B358" s="1">
        <v>46182.512789351851</v>
      </c>
      <c r="C358" t="s">
        <v>1</v>
      </c>
      <c r="D358" t="s">
        <v>391</v>
      </c>
      <c r="E358" t="s">
        <v>1330</v>
      </c>
      <c r="F358" t="s">
        <v>2458</v>
      </c>
      <c r="G358" t="s">
        <v>390</v>
      </c>
      <c r="H358" t="s">
        <v>828</v>
      </c>
      <c r="I358" t="s">
        <v>974</v>
      </c>
      <c r="J358" t="s">
        <v>975</v>
      </c>
      <c r="K358" t="s">
        <v>1379</v>
      </c>
      <c r="M358">
        <v>555</v>
      </c>
      <c r="N358">
        <v>69000</v>
      </c>
      <c r="Q358" t="s">
        <v>1380</v>
      </c>
      <c r="S358" t="s">
        <v>1776</v>
      </c>
      <c r="W358" t="s">
        <v>1381</v>
      </c>
      <c r="Y358" t="str">
        <f t="shared" si="29"/>
        <v/>
      </c>
      <c r="Z358" t="str">
        <f t="shared" si="27"/>
        <v/>
      </c>
      <c r="AA358" t="str">
        <f>IF(NOT("" = ""), HYPERLINK("", "موقع"), "")</f>
        <v/>
      </c>
    </row>
    <row r="359" spans="1:27" x14ac:dyDescent="0.3">
      <c r="A359" t="s">
        <v>1382</v>
      </c>
      <c r="B359" s="1">
        <v>46182.512789351851</v>
      </c>
      <c r="C359" t="s">
        <v>1</v>
      </c>
      <c r="D359" t="s">
        <v>391</v>
      </c>
      <c r="E359" t="s">
        <v>870</v>
      </c>
      <c r="F359" t="s">
        <v>2459</v>
      </c>
      <c r="G359" t="s">
        <v>390</v>
      </c>
      <c r="H359" t="s">
        <v>828</v>
      </c>
      <c r="I359" t="s">
        <v>860</v>
      </c>
      <c r="J359" t="s">
        <v>861</v>
      </c>
      <c r="K359" t="s">
        <v>1383</v>
      </c>
      <c r="L359">
        <v>0</v>
      </c>
      <c r="M359">
        <v>968</v>
      </c>
      <c r="N359">
        <v>71000</v>
      </c>
      <c r="O359">
        <v>31.904471999999998</v>
      </c>
      <c r="P359">
        <v>35.939332999999998</v>
      </c>
      <c r="Q359" t="s">
        <v>1384</v>
      </c>
      <c r="S359" t="s">
        <v>1776</v>
      </c>
      <c r="T359" t="s">
        <v>2460</v>
      </c>
      <c r="U359" t="s">
        <v>2461</v>
      </c>
      <c r="W359" t="s">
        <v>1385</v>
      </c>
      <c r="Y359" t="str">
        <f t="shared" si="29"/>
        <v/>
      </c>
      <c r="Z359" t="str">
        <f t="shared" si="27"/>
        <v/>
      </c>
      <c r="AA359" t="str">
        <f>IF(NOT("https://maps.app.goo.gl/WBUQqXA4gLND48kUA" = ""), HYPERLINK("https://maps.app.goo.gl/WBUQqXA4gLND48kUA", "موقع"), "")</f>
        <v>موقع</v>
      </c>
    </row>
    <row r="360" spans="1:27" x14ac:dyDescent="0.3">
      <c r="A360" t="s">
        <v>1386</v>
      </c>
      <c r="B360" s="1">
        <v>46182.512789351851</v>
      </c>
      <c r="C360" t="s">
        <v>1</v>
      </c>
      <c r="D360" t="s">
        <v>391</v>
      </c>
      <c r="E360" t="s">
        <v>1389</v>
      </c>
      <c r="F360" t="s">
        <v>2448</v>
      </c>
      <c r="G360" t="s">
        <v>390</v>
      </c>
      <c r="H360" t="s">
        <v>828</v>
      </c>
      <c r="I360" t="s">
        <v>860</v>
      </c>
      <c r="J360" t="s">
        <v>1387</v>
      </c>
      <c r="K360" t="s">
        <v>1388</v>
      </c>
      <c r="L360">
        <v>0</v>
      </c>
      <c r="M360">
        <v>336</v>
      </c>
      <c r="N360">
        <v>122000</v>
      </c>
      <c r="O360">
        <v>31.787648699999998</v>
      </c>
      <c r="P360">
        <v>35.911592599999999</v>
      </c>
      <c r="Q360" t="s">
        <v>1390</v>
      </c>
      <c r="S360" t="s">
        <v>1776</v>
      </c>
      <c r="U360" t="s">
        <v>2462</v>
      </c>
      <c r="W360" t="s">
        <v>1391</v>
      </c>
      <c r="Y360" t="str">
        <f t="shared" si="29"/>
        <v/>
      </c>
      <c r="Z360" t="str">
        <f t="shared" si="27"/>
        <v/>
      </c>
      <c r="AA360" t="str">
        <f>IF(NOT("https://maps.app.goo.gl/jvgU1UXEWfvHr3Jj6" = ""), HYPERLINK("https://maps.app.goo.gl/jvgU1UXEWfvHr3Jj6", "موقع"), "")</f>
        <v>موقع</v>
      </c>
    </row>
    <row r="361" spans="1:27" x14ac:dyDescent="0.3">
      <c r="A361" t="s">
        <v>1392</v>
      </c>
      <c r="B361" s="1">
        <v>46182.512789351851</v>
      </c>
      <c r="C361" t="s">
        <v>1</v>
      </c>
      <c r="D361" t="s">
        <v>391</v>
      </c>
      <c r="E361" t="s">
        <v>1389</v>
      </c>
      <c r="F361" t="s">
        <v>2458</v>
      </c>
      <c r="G361" t="s">
        <v>390</v>
      </c>
      <c r="H361" t="s">
        <v>828</v>
      </c>
      <c r="I361" t="s">
        <v>860</v>
      </c>
      <c r="J361" t="s">
        <v>1387</v>
      </c>
      <c r="K361" t="s">
        <v>1388</v>
      </c>
      <c r="M361">
        <v>344</v>
      </c>
      <c r="N361">
        <v>143000</v>
      </c>
      <c r="Q361" t="s">
        <v>1390</v>
      </c>
      <c r="S361" t="s">
        <v>1776</v>
      </c>
      <c r="W361" t="s">
        <v>1391</v>
      </c>
      <c r="Y361" t="str">
        <f t="shared" si="29"/>
        <v/>
      </c>
      <c r="Z361" t="str">
        <f t="shared" si="27"/>
        <v/>
      </c>
      <c r="AA361" t="str">
        <f>IF(NOT("" = ""), HYPERLINK("", "موقع"), "")</f>
        <v/>
      </c>
    </row>
    <row r="362" spans="1:27" x14ac:dyDescent="0.3">
      <c r="A362" t="s">
        <v>1393</v>
      </c>
      <c r="B362" s="1">
        <v>46182.512789351851</v>
      </c>
      <c r="C362" t="s">
        <v>1</v>
      </c>
      <c r="D362" t="s">
        <v>391</v>
      </c>
      <c r="E362" t="s">
        <v>1389</v>
      </c>
      <c r="F362" t="s">
        <v>2448</v>
      </c>
      <c r="G362" t="s">
        <v>390</v>
      </c>
      <c r="H362" t="s">
        <v>828</v>
      </c>
      <c r="I362" t="s">
        <v>860</v>
      </c>
      <c r="J362" t="s">
        <v>1387</v>
      </c>
      <c r="K362" t="s">
        <v>1388</v>
      </c>
      <c r="M362">
        <v>334</v>
      </c>
      <c r="N362">
        <v>143000</v>
      </c>
      <c r="O362">
        <v>31.787917</v>
      </c>
      <c r="P362">
        <v>35.912222</v>
      </c>
      <c r="Q362" t="s">
        <v>1394</v>
      </c>
      <c r="S362" t="s">
        <v>1776</v>
      </c>
      <c r="U362" t="s">
        <v>2463</v>
      </c>
      <c r="W362" t="s">
        <v>1395</v>
      </c>
      <c r="Y362" t="str">
        <f t="shared" si="29"/>
        <v/>
      </c>
      <c r="Z362" t="str">
        <f t="shared" si="27"/>
        <v/>
      </c>
      <c r="AA362" t="str">
        <f>IF(NOT("https://maps.app.goo.gl/uLUMqwA51BwqkStM7" = ""), HYPERLINK("https://maps.app.goo.gl/uLUMqwA51BwqkStM7", "موقع"), "")</f>
        <v>موقع</v>
      </c>
    </row>
    <row r="363" spans="1:27" x14ac:dyDescent="0.3">
      <c r="A363" t="s">
        <v>1396</v>
      </c>
      <c r="B363" s="1">
        <v>46182.512789351851</v>
      </c>
      <c r="C363" t="s">
        <v>1</v>
      </c>
      <c r="D363" t="s">
        <v>391</v>
      </c>
      <c r="E363" t="s">
        <v>1389</v>
      </c>
      <c r="F363" t="s">
        <v>2448</v>
      </c>
      <c r="G363" t="s">
        <v>390</v>
      </c>
      <c r="H363" t="s">
        <v>828</v>
      </c>
      <c r="I363" t="s">
        <v>860</v>
      </c>
      <c r="J363" t="s">
        <v>1387</v>
      </c>
      <c r="K363" t="s">
        <v>1388</v>
      </c>
      <c r="L363">
        <v>0</v>
      </c>
      <c r="M363">
        <v>333</v>
      </c>
      <c r="N363">
        <v>143000</v>
      </c>
      <c r="Q363" t="s">
        <v>1394</v>
      </c>
      <c r="S363" t="s">
        <v>1776</v>
      </c>
      <c r="W363" t="s">
        <v>1395</v>
      </c>
      <c r="Y363" t="str">
        <f t="shared" si="29"/>
        <v/>
      </c>
      <c r="Z363" t="str">
        <f t="shared" si="27"/>
        <v/>
      </c>
      <c r="AA363" t="str">
        <f t="shared" ref="AA363:AA376" si="30">IF(NOT("" = ""), HYPERLINK("", "موقع"), "")</f>
        <v/>
      </c>
    </row>
    <row r="364" spans="1:27" x14ac:dyDescent="0.3">
      <c r="A364" t="s">
        <v>1397</v>
      </c>
      <c r="B364" s="1">
        <v>46182.512789351851</v>
      </c>
      <c r="C364" t="s">
        <v>1</v>
      </c>
      <c r="D364" t="s">
        <v>391</v>
      </c>
      <c r="E364" t="s">
        <v>1389</v>
      </c>
      <c r="F364" t="s">
        <v>2464</v>
      </c>
      <c r="G364" t="s">
        <v>390</v>
      </c>
      <c r="H364" t="s">
        <v>828</v>
      </c>
      <c r="I364" t="s">
        <v>860</v>
      </c>
      <c r="J364" t="s">
        <v>1387</v>
      </c>
      <c r="K364" t="s">
        <v>1388</v>
      </c>
      <c r="M364">
        <v>337</v>
      </c>
      <c r="N364">
        <v>143000</v>
      </c>
      <c r="Q364" t="s">
        <v>1390</v>
      </c>
      <c r="S364" t="s">
        <v>1776</v>
      </c>
      <c r="W364" t="s">
        <v>1391</v>
      </c>
      <c r="Y364" t="str">
        <f t="shared" si="29"/>
        <v/>
      </c>
      <c r="Z364" t="str">
        <f t="shared" si="27"/>
        <v/>
      </c>
      <c r="AA364" t="str">
        <f t="shared" si="30"/>
        <v/>
      </c>
    </row>
    <row r="365" spans="1:27" x14ac:dyDescent="0.3">
      <c r="A365" t="s">
        <v>1398</v>
      </c>
      <c r="B365" s="1">
        <v>46182.512789351851</v>
      </c>
      <c r="C365" t="s">
        <v>1</v>
      </c>
      <c r="D365" t="s">
        <v>391</v>
      </c>
      <c r="E365" t="s">
        <v>1389</v>
      </c>
      <c r="F365" t="s">
        <v>2448</v>
      </c>
      <c r="G365" t="s">
        <v>390</v>
      </c>
      <c r="H365" t="s">
        <v>828</v>
      </c>
      <c r="I365" t="s">
        <v>860</v>
      </c>
      <c r="J365" t="s">
        <v>1387</v>
      </c>
      <c r="K365" t="s">
        <v>1388</v>
      </c>
      <c r="M365">
        <v>338</v>
      </c>
      <c r="N365">
        <v>143000</v>
      </c>
      <c r="Q365" t="s">
        <v>1390</v>
      </c>
      <c r="S365" t="s">
        <v>1776</v>
      </c>
      <c r="W365" t="s">
        <v>1399</v>
      </c>
      <c r="Y365" t="str">
        <f t="shared" si="29"/>
        <v/>
      </c>
      <c r="Z365" t="str">
        <f t="shared" si="27"/>
        <v/>
      </c>
      <c r="AA365" t="str">
        <f t="shared" si="30"/>
        <v/>
      </c>
    </row>
    <row r="366" spans="1:27" x14ac:dyDescent="0.3">
      <c r="A366" t="s">
        <v>1400</v>
      </c>
      <c r="B366" s="1">
        <v>46182.512789351851</v>
      </c>
      <c r="C366" t="s">
        <v>1</v>
      </c>
      <c r="D366" t="s">
        <v>391</v>
      </c>
      <c r="E366" t="s">
        <v>1389</v>
      </c>
      <c r="F366" t="s">
        <v>2465</v>
      </c>
      <c r="G366" t="s">
        <v>390</v>
      </c>
      <c r="H366" t="s">
        <v>828</v>
      </c>
      <c r="I366" t="s">
        <v>860</v>
      </c>
      <c r="J366" t="s">
        <v>1387</v>
      </c>
      <c r="K366" t="s">
        <v>1388</v>
      </c>
      <c r="L366">
        <v>0</v>
      </c>
      <c r="M366">
        <v>341</v>
      </c>
      <c r="N366">
        <v>144000</v>
      </c>
      <c r="Q366" t="s">
        <v>1401</v>
      </c>
      <c r="S366" t="s">
        <v>1776</v>
      </c>
      <c r="W366" t="s">
        <v>1402</v>
      </c>
      <c r="Y366" t="str">
        <f t="shared" si="29"/>
        <v/>
      </c>
      <c r="Z366" t="str">
        <f t="shared" si="27"/>
        <v/>
      </c>
      <c r="AA366" t="str">
        <f t="shared" si="30"/>
        <v/>
      </c>
    </row>
    <row r="367" spans="1:27" x14ac:dyDescent="0.3">
      <c r="A367" t="s">
        <v>1403</v>
      </c>
      <c r="B367" s="1">
        <v>46182.512789351851</v>
      </c>
      <c r="C367" t="s">
        <v>1</v>
      </c>
      <c r="D367" t="s">
        <v>391</v>
      </c>
      <c r="E367" t="s">
        <v>1389</v>
      </c>
      <c r="F367" t="s">
        <v>2448</v>
      </c>
      <c r="G367" t="s">
        <v>390</v>
      </c>
      <c r="H367" t="s">
        <v>828</v>
      </c>
      <c r="I367" t="s">
        <v>860</v>
      </c>
      <c r="J367" t="s">
        <v>1387</v>
      </c>
      <c r="K367" t="s">
        <v>1388</v>
      </c>
      <c r="L367">
        <v>0</v>
      </c>
      <c r="M367">
        <v>342</v>
      </c>
      <c r="N367">
        <v>144000</v>
      </c>
      <c r="Q367" t="s">
        <v>1404</v>
      </c>
      <c r="S367" t="s">
        <v>1776</v>
      </c>
      <c r="W367" t="s">
        <v>1405</v>
      </c>
      <c r="Y367" t="str">
        <f t="shared" si="29"/>
        <v/>
      </c>
      <c r="Z367" t="str">
        <f t="shared" si="27"/>
        <v/>
      </c>
      <c r="AA367" t="str">
        <f t="shared" si="30"/>
        <v/>
      </c>
    </row>
    <row r="368" spans="1:27" x14ac:dyDescent="0.3">
      <c r="A368" t="s">
        <v>1406</v>
      </c>
      <c r="B368" s="1">
        <v>46182.512789351851</v>
      </c>
      <c r="C368" t="s">
        <v>1</v>
      </c>
      <c r="D368" t="s">
        <v>391</v>
      </c>
      <c r="E368" t="s">
        <v>1389</v>
      </c>
      <c r="F368" t="s">
        <v>2448</v>
      </c>
      <c r="G368" t="s">
        <v>390</v>
      </c>
      <c r="H368" t="s">
        <v>828</v>
      </c>
      <c r="I368" t="s">
        <v>860</v>
      </c>
      <c r="J368" t="s">
        <v>1387</v>
      </c>
      <c r="K368" t="s">
        <v>1388</v>
      </c>
      <c r="L368">
        <v>0</v>
      </c>
      <c r="M368">
        <v>330</v>
      </c>
      <c r="N368">
        <v>145000</v>
      </c>
      <c r="Q368" t="s">
        <v>1394</v>
      </c>
      <c r="S368" t="s">
        <v>1776</v>
      </c>
      <c r="W368" t="s">
        <v>1395</v>
      </c>
      <c r="Y368" t="str">
        <f t="shared" si="29"/>
        <v/>
      </c>
      <c r="Z368" t="str">
        <f t="shared" si="27"/>
        <v/>
      </c>
      <c r="AA368" t="str">
        <f t="shared" si="30"/>
        <v/>
      </c>
    </row>
    <row r="369" spans="1:27" x14ac:dyDescent="0.3">
      <c r="A369" t="s">
        <v>1407</v>
      </c>
      <c r="B369" s="1">
        <v>46182.512789351851</v>
      </c>
      <c r="C369" t="s">
        <v>1</v>
      </c>
      <c r="D369" t="s">
        <v>391</v>
      </c>
      <c r="E369" t="s">
        <v>1389</v>
      </c>
      <c r="F369" t="s">
        <v>2466</v>
      </c>
      <c r="G369" t="s">
        <v>390</v>
      </c>
      <c r="H369" t="s">
        <v>828</v>
      </c>
      <c r="I369" t="s">
        <v>860</v>
      </c>
      <c r="J369" t="s">
        <v>1387</v>
      </c>
      <c r="K369" t="s">
        <v>1388</v>
      </c>
      <c r="M369">
        <v>329</v>
      </c>
      <c r="N369">
        <v>148000</v>
      </c>
      <c r="Q369" t="s">
        <v>1394</v>
      </c>
      <c r="S369" t="s">
        <v>1776</v>
      </c>
      <c r="W369" t="s">
        <v>1408</v>
      </c>
      <c r="Y369" t="str">
        <f t="shared" si="29"/>
        <v/>
      </c>
      <c r="Z369" t="str">
        <f t="shared" si="27"/>
        <v/>
      </c>
      <c r="AA369" t="str">
        <f t="shared" si="30"/>
        <v/>
      </c>
    </row>
    <row r="370" spans="1:27" x14ac:dyDescent="0.3">
      <c r="A370" t="s">
        <v>1409</v>
      </c>
      <c r="B370" s="1">
        <v>46182.512789351851</v>
      </c>
      <c r="C370" t="s">
        <v>1</v>
      </c>
      <c r="D370" t="s">
        <v>391</v>
      </c>
      <c r="E370" t="s">
        <v>1389</v>
      </c>
      <c r="F370" t="s">
        <v>2448</v>
      </c>
      <c r="G370" t="s">
        <v>390</v>
      </c>
      <c r="H370" t="s">
        <v>828</v>
      </c>
      <c r="I370" t="s">
        <v>860</v>
      </c>
      <c r="J370" t="s">
        <v>1387</v>
      </c>
      <c r="K370" t="s">
        <v>1388</v>
      </c>
      <c r="M370">
        <v>339</v>
      </c>
      <c r="N370">
        <v>152000</v>
      </c>
      <c r="Q370" t="s">
        <v>1394</v>
      </c>
      <c r="S370" t="s">
        <v>1776</v>
      </c>
      <c r="W370" t="s">
        <v>1408</v>
      </c>
      <c r="Y370" t="str">
        <f t="shared" si="29"/>
        <v/>
      </c>
      <c r="Z370" t="str">
        <f t="shared" si="27"/>
        <v/>
      </c>
      <c r="AA370" t="str">
        <f t="shared" si="30"/>
        <v/>
      </c>
    </row>
    <row r="371" spans="1:27" x14ac:dyDescent="0.3">
      <c r="A371" t="s">
        <v>1410</v>
      </c>
      <c r="B371" s="1">
        <v>46182.512789351851</v>
      </c>
      <c r="C371" t="s">
        <v>1</v>
      </c>
      <c r="D371" t="s">
        <v>391</v>
      </c>
      <c r="E371" t="s">
        <v>1389</v>
      </c>
      <c r="F371" t="s">
        <v>2448</v>
      </c>
      <c r="G371" t="s">
        <v>390</v>
      </c>
      <c r="H371" t="s">
        <v>828</v>
      </c>
      <c r="I371" t="s">
        <v>860</v>
      </c>
      <c r="J371" t="s">
        <v>1387</v>
      </c>
      <c r="K371" t="s">
        <v>1388</v>
      </c>
      <c r="M371">
        <v>332</v>
      </c>
      <c r="N371">
        <v>152000</v>
      </c>
      <c r="Q371" t="s">
        <v>1404</v>
      </c>
      <c r="S371" t="s">
        <v>1776</v>
      </c>
      <c r="W371" t="s">
        <v>1405</v>
      </c>
      <c r="Y371" t="str">
        <f t="shared" si="29"/>
        <v/>
      </c>
      <c r="Z371" t="str">
        <f t="shared" si="27"/>
        <v/>
      </c>
      <c r="AA371" t="str">
        <f t="shared" si="30"/>
        <v/>
      </c>
    </row>
    <row r="372" spans="1:27" x14ac:dyDescent="0.3">
      <c r="A372" t="s">
        <v>1411</v>
      </c>
      <c r="B372" s="1">
        <v>46182.512789351851</v>
      </c>
      <c r="C372" t="s">
        <v>1</v>
      </c>
      <c r="D372" t="s">
        <v>391</v>
      </c>
      <c r="E372" t="s">
        <v>1389</v>
      </c>
      <c r="F372" t="s">
        <v>2448</v>
      </c>
      <c r="G372" t="s">
        <v>390</v>
      </c>
      <c r="H372" t="s">
        <v>828</v>
      </c>
      <c r="I372" t="s">
        <v>860</v>
      </c>
      <c r="J372" t="s">
        <v>1387</v>
      </c>
      <c r="K372" t="s">
        <v>1388</v>
      </c>
      <c r="M372">
        <v>335</v>
      </c>
      <c r="N372">
        <v>152000</v>
      </c>
      <c r="Q372" t="s">
        <v>1390</v>
      </c>
      <c r="S372" t="s">
        <v>1776</v>
      </c>
      <c r="W372" t="s">
        <v>1399</v>
      </c>
      <c r="Y372" t="str">
        <f t="shared" si="29"/>
        <v/>
      </c>
      <c r="Z372" t="str">
        <f t="shared" si="27"/>
        <v/>
      </c>
      <c r="AA372" t="str">
        <f t="shared" si="30"/>
        <v/>
      </c>
    </row>
    <row r="373" spans="1:27" x14ac:dyDescent="0.3">
      <c r="A373" t="s">
        <v>1412</v>
      </c>
      <c r="B373" s="1">
        <v>46182.512789351851</v>
      </c>
      <c r="C373" t="s">
        <v>1</v>
      </c>
      <c r="D373" t="s">
        <v>391</v>
      </c>
      <c r="E373" t="s">
        <v>1389</v>
      </c>
      <c r="F373" t="s">
        <v>2448</v>
      </c>
      <c r="G373" t="s">
        <v>390</v>
      </c>
      <c r="H373" t="s">
        <v>828</v>
      </c>
      <c r="I373" t="s">
        <v>860</v>
      </c>
      <c r="J373" t="s">
        <v>1387</v>
      </c>
      <c r="K373" t="s">
        <v>1388</v>
      </c>
      <c r="M373">
        <v>343</v>
      </c>
      <c r="N373">
        <v>152000</v>
      </c>
      <c r="Q373" t="s">
        <v>1394</v>
      </c>
      <c r="S373" t="s">
        <v>1776</v>
      </c>
      <c r="W373" t="s">
        <v>1395</v>
      </c>
      <c r="Y373" t="str">
        <f t="shared" si="29"/>
        <v/>
      </c>
      <c r="Z373" t="str">
        <f t="shared" si="27"/>
        <v/>
      </c>
      <c r="AA373" t="str">
        <f t="shared" si="30"/>
        <v/>
      </c>
    </row>
    <row r="374" spans="1:27" x14ac:dyDescent="0.3">
      <c r="A374" t="s">
        <v>1413</v>
      </c>
      <c r="B374" s="1">
        <v>46182.512789351851</v>
      </c>
      <c r="C374" t="s">
        <v>1</v>
      </c>
      <c r="D374" t="s">
        <v>391</v>
      </c>
      <c r="E374" t="s">
        <v>1389</v>
      </c>
      <c r="F374" t="s">
        <v>2467</v>
      </c>
      <c r="G374" t="s">
        <v>390</v>
      </c>
      <c r="H374" t="s">
        <v>828</v>
      </c>
      <c r="I374" t="s">
        <v>860</v>
      </c>
      <c r="J374" t="s">
        <v>1387</v>
      </c>
      <c r="K374" t="s">
        <v>1388</v>
      </c>
      <c r="M374">
        <v>347</v>
      </c>
      <c r="N374">
        <v>153000</v>
      </c>
      <c r="Q374" t="s">
        <v>1414</v>
      </c>
      <c r="S374" t="s">
        <v>1776</v>
      </c>
      <c r="W374" t="s">
        <v>1415</v>
      </c>
      <c r="Y374" t="str">
        <f t="shared" si="29"/>
        <v/>
      </c>
      <c r="Z374" t="str">
        <f t="shared" si="27"/>
        <v/>
      </c>
      <c r="AA374" t="str">
        <f t="shared" si="30"/>
        <v/>
      </c>
    </row>
    <row r="375" spans="1:27" x14ac:dyDescent="0.3">
      <c r="A375" t="s">
        <v>1416</v>
      </c>
      <c r="B375" s="1">
        <v>46182.512789351851</v>
      </c>
      <c r="C375" t="s">
        <v>1</v>
      </c>
      <c r="D375" t="s">
        <v>391</v>
      </c>
      <c r="E375" t="s">
        <v>1194</v>
      </c>
      <c r="F375" t="s">
        <v>2458</v>
      </c>
      <c r="G375" t="s">
        <v>390</v>
      </c>
      <c r="H375" t="s">
        <v>828</v>
      </c>
      <c r="I375" t="s">
        <v>974</v>
      </c>
      <c r="J375" t="s">
        <v>1192</v>
      </c>
      <c r="K375" t="s">
        <v>1417</v>
      </c>
      <c r="M375">
        <v>873</v>
      </c>
      <c r="N375">
        <v>174000</v>
      </c>
      <c r="Q375" t="s">
        <v>793</v>
      </c>
      <c r="S375" t="s">
        <v>1776</v>
      </c>
      <c r="W375" t="s">
        <v>1418</v>
      </c>
      <c r="Y375" t="str">
        <f t="shared" si="29"/>
        <v/>
      </c>
      <c r="Z375" t="str">
        <f t="shared" si="27"/>
        <v/>
      </c>
      <c r="AA375" t="str">
        <f t="shared" si="30"/>
        <v/>
      </c>
    </row>
    <row r="376" spans="1:27" x14ac:dyDescent="0.3">
      <c r="A376" t="s">
        <v>1419</v>
      </c>
      <c r="B376" s="1">
        <v>46182.512789351851</v>
      </c>
      <c r="C376" t="s">
        <v>1</v>
      </c>
      <c r="D376" t="s">
        <v>391</v>
      </c>
      <c r="E376" t="s">
        <v>1421</v>
      </c>
      <c r="F376" t="s">
        <v>2448</v>
      </c>
      <c r="G376" t="s">
        <v>390</v>
      </c>
      <c r="H376" t="s">
        <v>828</v>
      </c>
      <c r="I376" t="s">
        <v>1148</v>
      </c>
      <c r="J376" t="s">
        <v>1149</v>
      </c>
      <c r="K376" t="s">
        <v>1420</v>
      </c>
      <c r="M376">
        <v>381</v>
      </c>
      <c r="N376">
        <v>819000</v>
      </c>
      <c r="Q376" t="s">
        <v>1422</v>
      </c>
      <c r="S376" t="s">
        <v>1776</v>
      </c>
      <c r="W376" t="s">
        <v>1423</v>
      </c>
      <c r="Y376" t="str">
        <f t="shared" si="29"/>
        <v/>
      </c>
      <c r="Z376" t="str">
        <f t="shared" si="27"/>
        <v/>
      </c>
      <c r="AA376" t="str">
        <f t="shared" si="30"/>
        <v/>
      </c>
    </row>
    <row r="377" spans="1:27" x14ac:dyDescent="0.3">
      <c r="A377" t="s">
        <v>1424</v>
      </c>
      <c r="B377" s="1">
        <v>46182.512789351851</v>
      </c>
      <c r="C377" t="s">
        <v>1</v>
      </c>
      <c r="D377" t="s">
        <v>1425</v>
      </c>
      <c r="E377" t="s">
        <v>1427</v>
      </c>
      <c r="F377" t="s">
        <v>2468</v>
      </c>
      <c r="G377" t="s">
        <v>20</v>
      </c>
      <c r="H377" t="s">
        <v>828</v>
      </c>
      <c r="I377" t="s">
        <v>974</v>
      </c>
      <c r="J377" t="s">
        <v>1049</v>
      </c>
      <c r="K377" t="s">
        <v>1426</v>
      </c>
      <c r="L377">
        <v>139</v>
      </c>
      <c r="M377">
        <v>449</v>
      </c>
      <c r="N377">
        <v>102000</v>
      </c>
      <c r="O377">
        <v>31.997889000000001</v>
      </c>
      <c r="P377">
        <v>35.871693999999998</v>
      </c>
      <c r="Q377" t="s">
        <v>1135</v>
      </c>
      <c r="R377" t="s">
        <v>2469</v>
      </c>
      <c r="S377" t="s">
        <v>1828</v>
      </c>
      <c r="T377" t="s">
        <v>2470</v>
      </c>
      <c r="U377" t="s">
        <v>2471</v>
      </c>
      <c r="V377" t="s">
        <v>50</v>
      </c>
      <c r="W377" t="s">
        <v>1428</v>
      </c>
      <c r="Y377" t="str">
        <f t="shared" si="29"/>
        <v/>
      </c>
      <c r="Z377" t="str">
        <f>IF(NOT("https://truemarkets3d.net/3d-virtual-tour/housingbank-realestate/phase3/aq-re-100186/index.html" = ""), HYPERLINK("https://truemarkets3d.net/3d-virtual-tour/housingbank-realestate/phase3/aq-re-100186/index.html", "جولة"), "")</f>
        <v>جولة</v>
      </c>
      <c r="AA377" t="str">
        <f>IF(NOT("https://maps.app.goo.gl/QsRwMkUsu8fEteyQA" = ""), HYPERLINK("https://maps.app.goo.gl/QsRwMkUsu8fEteyQA", "موقع"), "")</f>
        <v>موقع</v>
      </c>
    </row>
    <row r="378" spans="1:27" x14ac:dyDescent="0.3">
      <c r="A378" t="s">
        <v>1429</v>
      </c>
      <c r="B378" s="1">
        <v>46182.512789351851</v>
      </c>
      <c r="C378" t="s">
        <v>1</v>
      </c>
      <c r="D378" t="s">
        <v>1425</v>
      </c>
      <c r="E378" t="s">
        <v>1292</v>
      </c>
      <c r="F378" t="s">
        <v>2472</v>
      </c>
      <c r="G378" t="s">
        <v>20</v>
      </c>
      <c r="H378" t="s">
        <v>828</v>
      </c>
      <c r="I378" t="s">
        <v>974</v>
      </c>
      <c r="J378" t="s">
        <v>1108</v>
      </c>
      <c r="K378" t="s">
        <v>1430</v>
      </c>
      <c r="L378">
        <v>121</v>
      </c>
      <c r="M378">
        <v>883</v>
      </c>
      <c r="N378">
        <v>534000</v>
      </c>
      <c r="Q378" t="s">
        <v>1431</v>
      </c>
      <c r="S378" t="s">
        <v>1776</v>
      </c>
      <c r="V378" t="s">
        <v>75</v>
      </c>
      <c r="W378" t="s">
        <v>1432</v>
      </c>
      <c r="Y378" t="str">
        <f t="shared" si="29"/>
        <v/>
      </c>
      <c r="Z378" t="str">
        <f t="shared" ref="Z378:Z409" si="31">IF(NOT("" = ""), HYPERLINK("", "جولة"), "")</f>
        <v/>
      </c>
      <c r="AA378" t="str">
        <f>IF(NOT("" = ""), HYPERLINK("", "موقع"), "")</f>
        <v/>
      </c>
    </row>
    <row r="379" spans="1:27" x14ac:dyDescent="0.3">
      <c r="A379" t="s">
        <v>1433</v>
      </c>
      <c r="B379" s="1">
        <v>46182.512789351851</v>
      </c>
      <c r="C379" t="s">
        <v>1</v>
      </c>
      <c r="D379" t="s">
        <v>54</v>
      </c>
      <c r="E379" t="s">
        <v>1438</v>
      </c>
      <c r="F379" t="s">
        <v>2473</v>
      </c>
      <c r="G379" t="s">
        <v>20</v>
      </c>
      <c r="H379" t="s">
        <v>1434</v>
      </c>
      <c r="I379" t="s">
        <v>1435</v>
      </c>
      <c r="J379" t="s">
        <v>1436</v>
      </c>
      <c r="K379" t="s">
        <v>1437</v>
      </c>
      <c r="L379">
        <v>122</v>
      </c>
      <c r="M379">
        <v>1427</v>
      </c>
      <c r="N379">
        <v>10000</v>
      </c>
      <c r="Q379" t="s">
        <v>1439</v>
      </c>
      <c r="S379" t="s">
        <v>1776</v>
      </c>
      <c r="V379" t="s">
        <v>75</v>
      </c>
      <c r="W379" t="s">
        <v>1440</v>
      </c>
      <c r="Y379" t="str">
        <f t="shared" si="29"/>
        <v/>
      </c>
      <c r="Z379" t="str">
        <f t="shared" si="31"/>
        <v/>
      </c>
      <c r="AA379" t="str">
        <f>IF(NOT("" = ""), HYPERLINK("", "موقع"), "")</f>
        <v/>
      </c>
    </row>
    <row r="380" spans="1:27" x14ac:dyDescent="0.3">
      <c r="A380" t="s">
        <v>1441</v>
      </c>
      <c r="B380" s="1">
        <v>46182.512789351851</v>
      </c>
      <c r="C380" t="s">
        <v>1</v>
      </c>
      <c r="D380" t="s">
        <v>54</v>
      </c>
      <c r="E380" t="s">
        <v>1443</v>
      </c>
      <c r="F380" t="s">
        <v>2474</v>
      </c>
      <c r="G380" t="s">
        <v>20</v>
      </c>
      <c r="H380" t="s">
        <v>1434</v>
      </c>
      <c r="I380" t="s">
        <v>1435</v>
      </c>
      <c r="J380" t="s">
        <v>1436</v>
      </c>
      <c r="K380" t="s">
        <v>1442</v>
      </c>
      <c r="L380">
        <v>111</v>
      </c>
      <c r="M380">
        <v>758</v>
      </c>
      <c r="N380">
        <v>17000</v>
      </c>
      <c r="O380">
        <v>29.561582999999999</v>
      </c>
      <c r="P380">
        <v>35.013221999999999</v>
      </c>
      <c r="Q380" t="s">
        <v>1444</v>
      </c>
      <c r="S380" t="s">
        <v>1776</v>
      </c>
      <c r="U380" t="s">
        <v>2475</v>
      </c>
      <c r="V380" t="s">
        <v>32</v>
      </c>
      <c r="W380" t="s">
        <v>1445</v>
      </c>
      <c r="Y380" t="str">
        <f t="shared" si="29"/>
        <v/>
      </c>
      <c r="Z380" t="str">
        <f t="shared" si="31"/>
        <v/>
      </c>
      <c r="AA380" t="str">
        <f>IF(NOT("https://maps.app.goo.gl/NjZWGWM4gPdVSFy98" = ""), HYPERLINK("https://maps.app.goo.gl/NjZWGWM4gPdVSFy98", "موقع"), "")</f>
        <v>موقع</v>
      </c>
    </row>
    <row r="381" spans="1:27" x14ac:dyDescent="0.3">
      <c r="A381" t="s">
        <v>1446</v>
      </c>
      <c r="B381" s="1">
        <v>46182.512789351851</v>
      </c>
      <c r="C381" t="s">
        <v>1</v>
      </c>
      <c r="D381" t="s">
        <v>54</v>
      </c>
      <c r="E381" t="s">
        <v>1448</v>
      </c>
      <c r="F381" t="s">
        <v>2476</v>
      </c>
      <c r="G381" t="s">
        <v>20</v>
      </c>
      <c r="H381" t="s">
        <v>1434</v>
      </c>
      <c r="I381" t="s">
        <v>1435</v>
      </c>
      <c r="J381" t="s">
        <v>1436</v>
      </c>
      <c r="K381" t="s">
        <v>1447</v>
      </c>
      <c r="L381">
        <v>124</v>
      </c>
      <c r="M381">
        <v>2846</v>
      </c>
      <c r="N381">
        <v>18000</v>
      </c>
      <c r="O381">
        <v>29.59</v>
      </c>
      <c r="P381">
        <v>35.069667000000003</v>
      </c>
      <c r="Q381" t="s">
        <v>1449</v>
      </c>
      <c r="S381" t="s">
        <v>1776</v>
      </c>
      <c r="U381" t="s">
        <v>2477</v>
      </c>
      <c r="V381" t="s">
        <v>75</v>
      </c>
      <c r="W381" t="s">
        <v>1450</v>
      </c>
      <c r="Y381" t="str">
        <f t="shared" si="29"/>
        <v/>
      </c>
      <c r="Z381" t="str">
        <f t="shared" si="31"/>
        <v/>
      </c>
      <c r="AA381" t="str">
        <f>IF(NOT("https://maps.app.goo.gl/wFsY2pvrwCUoWDti9" = ""), HYPERLINK("https://maps.app.goo.gl/wFsY2pvrwCUoWDti9", "موقع"), "")</f>
        <v>موقع</v>
      </c>
    </row>
    <row r="382" spans="1:27" x14ac:dyDescent="0.3">
      <c r="A382" t="s">
        <v>1451</v>
      </c>
      <c r="B382" s="1">
        <v>46182.512789351851</v>
      </c>
      <c r="C382" t="s">
        <v>1</v>
      </c>
      <c r="D382" t="s">
        <v>54</v>
      </c>
      <c r="E382" t="s">
        <v>1452</v>
      </c>
      <c r="F382" t="s">
        <v>2478</v>
      </c>
      <c r="G382" t="s">
        <v>20</v>
      </c>
      <c r="H382" t="s">
        <v>1434</v>
      </c>
      <c r="I382" t="s">
        <v>1435</v>
      </c>
      <c r="J382" t="s">
        <v>1436</v>
      </c>
      <c r="K382" t="s">
        <v>1447</v>
      </c>
      <c r="L382">
        <v>-102</v>
      </c>
      <c r="M382">
        <v>2855</v>
      </c>
      <c r="N382">
        <v>21000</v>
      </c>
      <c r="Q382" t="s">
        <v>1449</v>
      </c>
      <c r="S382" t="s">
        <v>1776</v>
      </c>
      <c r="V382" t="s">
        <v>27</v>
      </c>
      <c r="W382" t="s">
        <v>1453</v>
      </c>
      <c r="Y382" t="str">
        <f t="shared" si="29"/>
        <v/>
      </c>
      <c r="Z382" t="str">
        <f t="shared" si="31"/>
        <v/>
      </c>
      <c r="AA382" t="str">
        <f>IF(NOT("" = ""), HYPERLINK("", "موقع"), "")</f>
        <v/>
      </c>
    </row>
    <row r="383" spans="1:27" x14ac:dyDescent="0.3">
      <c r="A383" t="s">
        <v>1454</v>
      </c>
      <c r="B383" s="1">
        <v>46182.512789351851</v>
      </c>
      <c r="C383" t="s">
        <v>1</v>
      </c>
      <c r="D383" t="s">
        <v>54</v>
      </c>
      <c r="E383" t="s">
        <v>1452</v>
      </c>
      <c r="F383" t="s">
        <v>2479</v>
      </c>
      <c r="G383" t="s">
        <v>20</v>
      </c>
      <c r="H383" t="s">
        <v>1434</v>
      </c>
      <c r="I383" t="s">
        <v>1435</v>
      </c>
      <c r="J383" t="s">
        <v>1436</v>
      </c>
      <c r="K383" t="s">
        <v>1447</v>
      </c>
      <c r="L383">
        <v>122</v>
      </c>
      <c r="M383">
        <v>2831</v>
      </c>
      <c r="N383">
        <v>22000</v>
      </c>
      <c r="O383">
        <v>29.591028000000001</v>
      </c>
      <c r="P383">
        <v>35.066749999999999</v>
      </c>
      <c r="Q383" t="s">
        <v>1449</v>
      </c>
      <c r="S383" t="s">
        <v>1776</v>
      </c>
      <c r="U383" t="s">
        <v>2480</v>
      </c>
      <c r="V383" t="s">
        <v>75</v>
      </c>
      <c r="W383" t="s">
        <v>1455</v>
      </c>
      <c r="Y383" t="str">
        <f t="shared" si="29"/>
        <v/>
      </c>
      <c r="Z383" t="str">
        <f t="shared" si="31"/>
        <v/>
      </c>
      <c r="AA383" t="str">
        <f>IF(NOT("https://maps.app.goo.gl/c6KHWZSnGQShxnEK6" = ""), HYPERLINK("https://maps.app.goo.gl/c6KHWZSnGQShxnEK6", "موقع"), "")</f>
        <v>موقع</v>
      </c>
    </row>
    <row r="384" spans="1:27" x14ac:dyDescent="0.3">
      <c r="A384" t="s">
        <v>1456</v>
      </c>
      <c r="B384" s="1">
        <v>46182.512789351851</v>
      </c>
      <c r="C384" t="s">
        <v>1</v>
      </c>
      <c r="D384" t="s">
        <v>54</v>
      </c>
      <c r="E384" t="s">
        <v>1452</v>
      </c>
      <c r="F384" t="s">
        <v>2241</v>
      </c>
      <c r="G384" t="s">
        <v>20</v>
      </c>
      <c r="H384" t="s">
        <v>1434</v>
      </c>
      <c r="I384" t="s">
        <v>1435</v>
      </c>
      <c r="J384" t="s">
        <v>1436</v>
      </c>
      <c r="K384" t="s">
        <v>1447</v>
      </c>
      <c r="L384">
        <v>111</v>
      </c>
      <c r="M384">
        <v>2976</v>
      </c>
      <c r="N384">
        <v>23000</v>
      </c>
      <c r="O384">
        <v>29.590222000000001</v>
      </c>
      <c r="P384">
        <v>35.070472000000002</v>
      </c>
      <c r="Q384" t="s">
        <v>126</v>
      </c>
      <c r="S384" t="s">
        <v>1776</v>
      </c>
      <c r="U384" t="s">
        <v>2481</v>
      </c>
      <c r="V384" t="s">
        <v>32</v>
      </c>
      <c r="W384" t="s">
        <v>1457</v>
      </c>
      <c r="Y384" t="str">
        <f t="shared" si="29"/>
        <v/>
      </c>
      <c r="Z384" t="str">
        <f t="shared" si="31"/>
        <v/>
      </c>
      <c r="AA384" t="str">
        <f>IF(NOT("https://maps.app.goo.gl/ysQrTwwWYW7k2JzN6" = ""), HYPERLINK("https://maps.app.goo.gl/ysQrTwwWYW7k2JzN6", "موقع"), "")</f>
        <v>موقع</v>
      </c>
    </row>
    <row r="385" spans="1:27" x14ac:dyDescent="0.3">
      <c r="A385" t="s">
        <v>1458</v>
      </c>
      <c r="B385" s="1">
        <v>46182.512789351851</v>
      </c>
      <c r="C385" t="s">
        <v>1</v>
      </c>
      <c r="D385" t="s">
        <v>54</v>
      </c>
      <c r="E385" t="s">
        <v>1460</v>
      </c>
      <c r="F385" t="s">
        <v>2482</v>
      </c>
      <c r="G385" t="s">
        <v>20</v>
      </c>
      <c r="H385" t="s">
        <v>1434</v>
      </c>
      <c r="I385" t="s">
        <v>1435</v>
      </c>
      <c r="J385" t="s">
        <v>1436</v>
      </c>
      <c r="K385" t="s">
        <v>1459</v>
      </c>
      <c r="L385">
        <v>122</v>
      </c>
      <c r="M385">
        <v>75</v>
      </c>
      <c r="N385">
        <v>40000</v>
      </c>
      <c r="Q385" t="s">
        <v>1461</v>
      </c>
      <c r="S385" t="s">
        <v>1776</v>
      </c>
      <c r="V385" t="s">
        <v>75</v>
      </c>
      <c r="W385" t="s">
        <v>1462</v>
      </c>
      <c r="Y385" t="str">
        <f t="shared" si="29"/>
        <v/>
      </c>
      <c r="Z385" t="str">
        <f t="shared" si="31"/>
        <v/>
      </c>
      <c r="AA385" t="str">
        <f>IF(NOT("" = ""), HYPERLINK("", "موقع"), "")</f>
        <v/>
      </c>
    </row>
    <row r="386" spans="1:27" x14ac:dyDescent="0.3">
      <c r="A386" t="s">
        <v>1463</v>
      </c>
      <c r="B386" s="1">
        <v>46182.512789351851</v>
      </c>
      <c r="C386" t="s">
        <v>1</v>
      </c>
      <c r="D386" t="s">
        <v>54</v>
      </c>
      <c r="E386" t="s">
        <v>1460</v>
      </c>
      <c r="F386" t="s">
        <v>2483</v>
      </c>
      <c r="G386" t="s">
        <v>20</v>
      </c>
      <c r="H386" t="s">
        <v>1434</v>
      </c>
      <c r="I386" t="s">
        <v>1435</v>
      </c>
      <c r="J386" t="s">
        <v>1436</v>
      </c>
      <c r="K386" t="s">
        <v>1464</v>
      </c>
      <c r="L386">
        <v>102</v>
      </c>
      <c r="M386">
        <v>356</v>
      </c>
      <c r="N386">
        <v>41000</v>
      </c>
      <c r="Q386" t="s">
        <v>1465</v>
      </c>
      <c r="S386" t="s">
        <v>1776</v>
      </c>
      <c r="V386" t="s">
        <v>41</v>
      </c>
      <c r="W386" t="s">
        <v>1466</v>
      </c>
      <c r="Y386" t="str">
        <f t="shared" si="29"/>
        <v/>
      </c>
      <c r="Z386" t="str">
        <f t="shared" si="31"/>
        <v/>
      </c>
      <c r="AA386" t="str">
        <f>IF(NOT("" = ""), HYPERLINK("", "موقع"), "")</f>
        <v/>
      </c>
    </row>
    <row r="387" spans="1:27" x14ac:dyDescent="0.3">
      <c r="A387" t="s">
        <v>1467</v>
      </c>
      <c r="B387" s="1">
        <v>46182.512789351851</v>
      </c>
      <c r="C387" t="s">
        <v>1</v>
      </c>
      <c r="D387" t="s">
        <v>433</v>
      </c>
      <c r="E387" t="s">
        <v>1469</v>
      </c>
      <c r="F387" t="s">
        <v>2484</v>
      </c>
      <c r="G387" t="s">
        <v>262</v>
      </c>
      <c r="H387" t="s">
        <v>1434</v>
      </c>
      <c r="I387" t="s">
        <v>1435</v>
      </c>
      <c r="J387" t="s">
        <v>1436</v>
      </c>
      <c r="K387" t="s">
        <v>1468</v>
      </c>
      <c r="L387">
        <v>0</v>
      </c>
      <c r="M387">
        <v>705</v>
      </c>
      <c r="N387">
        <v>633000</v>
      </c>
      <c r="Q387" t="s">
        <v>1470</v>
      </c>
      <c r="S387" t="s">
        <v>1776</v>
      </c>
      <c r="W387" t="s">
        <v>1471</v>
      </c>
      <c r="Y387" t="str">
        <f t="shared" ref="Y387:Y418" si="32">IF(NOT("" = ""), HYPERLINK("", "فيديو"), "")</f>
        <v/>
      </c>
      <c r="Z387" t="str">
        <f t="shared" si="31"/>
        <v/>
      </c>
      <c r="AA387" t="str">
        <f>IF(NOT("" = ""), HYPERLINK("", "موقع"), "")</f>
        <v/>
      </c>
    </row>
    <row r="388" spans="1:27" x14ac:dyDescent="0.3">
      <c r="A388" t="s">
        <v>1472</v>
      </c>
      <c r="B388" s="1">
        <v>46182.512789351851</v>
      </c>
      <c r="C388" t="s">
        <v>1</v>
      </c>
      <c r="D388" t="s">
        <v>54</v>
      </c>
      <c r="E388" t="s">
        <v>1476</v>
      </c>
      <c r="F388" t="s">
        <v>2485</v>
      </c>
      <c r="G388" t="s">
        <v>20</v>
      </c>
      <c r="H388" t="s">
        <v>1473</v>
      </c>
      <c r="I388" t="s">
        <v>1474</v>
      </c>
      <c r="J388" t="s">
        <v>1475</v>
      </c>
      <c r="K388" t="s">
        <v>119</v>
      </c>
      <c r="L388">
        <v>111</v>
      </c>
      <c r="M388">
        <v>730</v>
      </c>
      <c r="N388">
        <v>13000</v>
      </c>
      <c r="Q388" t="s">
        <v>579</v>
      </c>
      <c r="S388" t="s">
        <v>1776</v>
      </c>
      <c r="V388" t="s">
        <v>32</v>
      </c>
      <c r="W388" t="s">
        <v>1477</v>
      </c>
      <c r="Y388" t="str">
        <f t="shared" si="32"/>
        <v/>
      </c>
      <c r="Z388" t="str">
        <f t="shared" si="31"/>
        <v/>
      </c>
      <c r="AA388" t="str">
        <f>IF(NOT("" = ""), HYPERLINK("", "موقع"), "")</f>
        <v/>
      </c>
    </row>
    <row r="389" spans="1:27" x14ac:dyDescent="0.3">
      <c r="A389" t="s">
        <v>1478</v>
      </c>
      <c r="B389" s="1">
        <v>46182.512789351851</v>
      </c>
      <c r="C389" t="s">
        <v>1</v>
      </c>
      <c r="D389" t="s">
        <v>54</v>
      </c>
      <c r="E389" t="s">
        <v>1482</v>
      </c>
      <c r="F389" t="s">
        <v>2486</v>
      </c>
      <c r="G389" t="s">
        <v>20</v>
      </c>
      <c r="H389" t="s">
        <v>1473</v>
      </c>
      <c r="I389" t="s">
        <v>1479</v>
      </c>
      <c r="J389" t="s">
        <v>1480</v>
      </c>
      <c r="K389" t="s">
        <v>1481</v>
      </c>
      <c r="L389">
        <v>132</v>
      </c>
      <c r="M389">
        <v>83</v>
      </c>
      <c r="N389">
        <v>36000</v>
      </c>
      <c r="O389">
        <v>31.170500000000001</v>
      </c>
      <c r="P389">
        <v>35.734749999999998</v>
      </c>
      <c r="Q389" t="s">
        <v>134</v>
      </c>
      <c r="S389" t="s">
        <v>1776</v>
      </c>
      <c r="U389" t="s">
        <v>2487</v>
      </c>
      <c r="V389" t="s">
        <v>50</v>
      </c>
      <c r="W389" t="s">
        <v>1483</v>
      </c>
      <c r="Y389" t="str">
        <f t="shared" si="32"/>
        <v/>
      </c>
      <c r="Z389" t="str">
        <f t="shared" si="31"/>
        <v/>
      </c>
      <c r="AA389" t="str">
        <f>IF(NOT("https://maps.app.goo.gl/meVRxSaNbKiyizqX9" = ""), HYPERLINK("https://maps.app.goo.gl/meVRxSaNbKiyizqX9", "موقع"), "")</f>
        <v>موقع</v>
      </c>
    </row>
    <row r="390" spans="1:27" x14ac:dyDescent="0.3">
      <c r="A390" t="s">
        <v>1484</v>
      </c>
      <c r="B390" s="1">
        <v>46182.512789351851</v>
      </c>
      <c r="C390" t="s">
        <v>1</v>
      </c>
      <c r="D390" t="s">
        <v>54</v>
      </c>
      <c r="E390" t="s">
        <v>318</v>
      </c>
      <c r="F390" t="s">
        <v>2488</v>
      </c>
      <c r="G390" t="s">
        <v>20</v>
      </c>
      <c r="H390" t="s">
        <v>1473</v>
      </c>
      <c r="I390" t="s">
        <v>1485</v>
      </c>
      <c r="J390" t="s">
        <v>1486</v>
      </c>
      <c r="K390" t="s">
        <v>1487</v>
      </c>
      <c r="L390">
        <v>0</v>
      </c>
      <c r="M390">
        <v>615</v>
      </c>
      <c r="N390">
        <v>41000</v>
      </c>
      <c r="Q390" t="s">
        <v>1488</v>
      </c>
      <c r="S390" t="s">
        <v>1776</v>
      </c>
      <c r="V390" t="s">
        <v>32</v>
      </c>
      <c r="W390" t="s">
        <v>1489</v>
      </c>
      <c r="Y390" t="str">
        <f t="shared" si="32"/>
        <v/>
      </c>
      <c r="Z390" t="str">
        <f t="shared" si="31"/>
        <v/>
      </c>
      <c r="AA390" t="str">
        <f>IF(NOT("" = ""), HYPERLINK("", "موقع"), "")</f>
        <v/>
      </c>
    </row>
    <row r="391" spans="1:27" x14ac:dyDescent="0.3">
      <c r="A391" t="s">
        <v>1490</v>
      </c>
      <c r="B391" s="1">
        <v>46182.512789351851</v>
      </c>
      <c r="C391" t="s">
        <v>1</v>
      </c>
      <c r="D391" t="s">
        <v>281</v>
      </c>
      <c r="E391" t="s">
        <v>318</v>
      </c>
      <c r="F391" t="s">
        <v>2489</v>
      </c>
      <c r="G391" t="s">
        <v>262</v>
      </c>
      <c r="H391" t="s">
        <v>1473</v>
      </c>
      <c r="I391" t="s">
        <v>1485</v>
      </c>
      <c r="J391" t="s">
        <v>1491</v>
      </c>
      <c r="K391" t="s">
        <v>1492</v>
      </c>
      <c r="L391">
        <v>0</v>
      </c>
      <c r="M391">
        <v>839</v>
      </c>
      <c r="N391">
        <v>24000</v>
      </c>
      <c r="O391">
        <v>30.934472</v>
      </c>
      <c r="P391">
        <v>35.455556000000001</v>
      </c>
      <c r="Q391" t="s">
        <v>1493</v>
      </c>
      <c r="S391" t="s">
        <v>1776</v>
      </c>
      <c r="U391" t="s">
        <v>2490</v>
      </c>
      <c r="W391" t="s">
        <v>1494</v>
      </c>
      <c r="Y391" t="str">
        <f t="shared" si="32"/>
        <v/>
      </c>
      <c r="Z391" t="str">
        <f t="shared" si="31"/>
        <v/>
      </c>
      <c r="AA391" t="str">
        <f>IF(NOT("https://maps.app.goo.gl/SFgYjmhyJRSYtJH27" = ""), HYPERLINK("https://maps.app.goo.gl/SFgYjmhyJRSYtJH27", "موقع"), "")</f>
        <v>موقع</v>
      </c>
    </row>
    <row r="392" spans="1:27" x14ac:dyDescent="0.3">
      <c r="A392" t="s">
        <v>1495</v>
      </c>
      <c r="B392" s="1">
        <v>46182.512789351851</v>
      </c>
      <c r="C392" t="s">
        <v>1</v>
      </c>
      <c r="D392" t="s">
        <v>281</v>
      </c>
      <c r="E392" t="s">
        <v>318</v>
      </c>
      <c r="F392" t="s">
        <v>2491</v>
      </c>
      <c r="G392" t="s">
        <v>262</v>
      </c>
      <c r="H392" t="s">
        <v>1473</v>
      </c>
      <c r="I392" t="s">
        <v>1485</v>
      </c>
      <c r="J392" t="s">
        <v>1496</v>
      </c>
      <c r="K392" t="s">
        <v>300</v>
      </c>
      <c r="L392">
        <v>0</v>
      </c>
      <c r="M392">
        <v>22</v>
      </c>
      <c r="N392">
        <v>26000</v>
      </c>
      <c r="O392">
        <v>31.018222000000002</v>
      </c>
      <c r="P392">
        <v>35.486778000000001</v>
      </c>
      <c r="Q392" t="s">
        <v>1497</v>
      </c>
      <c r="S392" t="s">
        <v>1776</v>
      </c>
      <c r="U392" t="s">
        <v>2492</v>
      </c>
      <c r="W392" t="s">
        <v>1498</v>
      </c>
      <c r="Y392" t="str">
        <f t="shared" si="32"/>
        <v/>
      </c>
      <c r="Z392" t="str">
        <f t="shared" si="31"/>
        <v/>
      </c>
      <c r="AA392" t="str">
        <f>IF(NOT("https://maps.app.goo.gl/uebFuZCtCmPZFAFX8" = ""), HYPERLINK("https://maps.app.goo.gl/uebFuZCtCmPZFAFX8", "موقع"), "")</f>
        <v>موقع</v>
      </c>
    </row>
    <row r="393" spans="1:27" x14ac:dyDescent="0.3">
      <c r="A393" t="s">
        <v>1499</v>
      </c>
      <c r="B393" s="1">
        <v>46182.512789351851</v>
      </c>
      <c r="C393" t="s">
        <v>1</v>
      </c>
      <c r="D393" t="s">
        <v>281</v>
      </c>
      <c r="E393" t="s">
        <v>318</v>
      </c>
      <c r="F393" t="s">
        <v>2493</v>
      </c>
      <c r="G393" t="s">
        <v>262</v>
      </c>
      <c r="H393" t="s">
        <v>1473</v>
      </c>
      <c r="I393" t="s">
        <v>1479</v>
      </c>
      <c r="J393" t="s">
        <v>1500</v>
      </c>
      <c r="K393" t="s">
        <v>1501</v>
      </c>
      <c r="L393">
        <v>0</v>
      </c>
      <c r="M393">
        <v>106</v>
      </c>
      <c r="N393">
        <v>26000</v>
      </c>
      <c r="Q393" t="s">
        <v>1502</v>
      </c>
      <c r="S393" t="s">
        <v>1776</v>
      </c>
      <c r="W393" t="s">
        <v>1503</v>
      </c>
      <c r="Y393" t="str">
        <f t="shared" si="32"/>
        <v/>
      </c>
      <c r="Z393" t="str">
        <f t="shared" si="31"/>
        <v/>
      </c>
      <c r="AA393" t="str">
        <f>IF(NOT("" = ""), HYPERLINK("", "موقع"), "")</f>
        <v/>
      </c>
    </row>
    <row r="394" spans="1:27" x14ac:dyDescent="0.3">
      <c r="A394" t="s">
        <v>1504</v>
      </c>
      <c r="B394" s="1">
        <v>46182.512789351851</v>
      </c>
      <c r="C394" t="s">
        <v>1</v>
      </c>
      <c r="D394" t="s">
        <v>281</v>
      </c>
      <c r="E394" t="s">
        <v>1507</v>
      </c>
      <c r="F394" t="s">
        <v>2494</v>
      </c>
      <c r="G394" t="s">
        <v>262</v>
      </c>
      <c r="H394" t="s">
        <v>1473</v>
      </c>
      <c r="I394" t="s">
        <v>1479</v>
      </c>
      <c r="J394" t="s">
        <v>1505</v>
      </c>
      <c r="K394" t="s">
        <v>1506</v>
      </c>
      <c r="L394">
        <v>0</v>
      </c>
      <c r="M394">
        <v>327</v>
      </c>
      <c r="N394">
        <v>34000</v>
      </c>
      <c r="O394">
        <v>31.205249999999999</v>
      </c>
      <c r="P394">
        <v>35.757556000000001</v>
      </c>
      <c r="Q394" t="s">
        <v>1508</v>
      </c>
      <c r="S394" t="s">
        <v>1776</v>
      </c>
      <c r="U394" t="s">
        <v>2495</v>
      </c>
      <c r="W394" t="s">
        <v>1509</v>
      </c>
      <c r="Y394" t="str">
        <f t="shared" si="32"/>
        <v/>
      </c>
      <c r="Z394" t="str">
        <f t="shared" si="31"/>
        <v/>
      </c>
      <c r="AA394" t="str">
        <f>IF(NOT("https://maps.app.goo.gl/XmxnDKcjLE7m7iCQ6" = ""), HYPERLINK("https://maps.app.goo.gl/XmxnDKcjLE7m7iCQ6", "موقع"), "")</f>
        <v>موقع</v>
      </c>
    </row>
    <row r="395" spans="1:27" x14ac:dyDescent="0.3">
      <c r="A395" t="s">
        <v>1510</v>
      </c>
      <c r="B395" s="1">
        <v>46182.512789351851</v>
      </c>
      <c r="C395" t="s">
        <v>1</v>
      </c>
      <c r="D395" t="s">
        <v>281</v>
      </c>
      <c r="E395" t="s">
        <v>318</v>
      </c>
      <c r="F395" t="s">
        <v>2496</v>
      </c>
      <c r="G395" t="s">
        <v>262</v>
      </c>
      <c r="H395" t="s">
        <v>1473</v>
      </c>
      <c r="I395" t="s">
        <v>1485</v>
      </c>
      <c r="J395" t="s">
        <v>1486</v>
      </c>
      <c r="K395" t="s">
        <v>1511</v>
      </c>
      <c r="L395">
        <v>0</v>
      </c>
      <c r="M395">
        <v>537</v>
      </c>
      <c r="N395">
        <v>36000</v>
      </c>
      <c r="Q395" t="s">
        <v>1512</v>
      </c>
      <c r="S395" t="s">
        <v>1776</v>
      </c>
      <c r="W395" t="s">
        <v>1513</v>
      </c>
      <c r="Y395" t="str">
        <f t="shared" si="32"/>
        <v/>
      </c>
      <c r="Z395" t="str">
        <f t="shared" si="31"/>
        <v/>
      </c>
      <c r="AA395" t="str">
        <f>IF(NOT("" = ""), HYPERLINK("", "موقع"), "")</f>
        <v/>
      </c>
    </row>
    <row r="396" spans="1:27" x14ac:dyDescent="0.3">
      <c r="A396" t="s">
        <v>1514</v>
      </c>
      <c r="B396" s="1">
        <v>46182.512789351851</v>
      </c>
      <c r="C396" t="s">
        <v>1</v>
      </c>
      <c r="D396" t="s">
        <v>281</v>
      </c>
      <c r="E396" t="s">
        <v>1476</v>
      </c>
      <c r="F396" t="s">
        <v>2497</v>
      </c>
      <c r="G396" t="s">
        <v>262</v>
      </c>
      <c r="H396" t="s">
        <v>1473</v>
      </c>
      <c r="I396" t="s">
        <v>1485</v>
      </c>
      <c r="J396" t="s">
        <v>1486</v>
      </c>
      <c r="K396" t="s">
        <v>1511</v>
      </c>
      <c r="L396">
        <v>0</v>
      </c>
      <c r="M396">
        <v>618</v>
      </c>
      <c r="N396">
        <v>41000</v>
      </c>
      <c r="Q396" t="s">
        <v>478</v>
      </c>
      <c r="S396" t="s">
        <v>1776</v>
      </c>
      <c r="W396" t="s">
        <v>1515</v>
      </c>
      <c r="Y396" t="str">
        <f t="shared" si="32"/>
        <v/>
      </c>
      <c r="Z396" t="str">
        <f t="shared" si="31"/>
        <v/>
      </c>
      <c r="AA396" t="str">
        <f>IF(NOT("" = ""), HYPERLINK("", "موقع"), "")</f>
        <v/>
      </c>
    </row>
    <row r="397" spans="1:27" x14ac:dyDescent="0.3">
      <c r="A397" t="s">
        <v>1516</v>
      </c>
      <c r="B397" s="1">
        <v>46182.512789351851</v>
      </c>
      <c r="C397" t="s">
        <v>1</v>
      </c>
      <c r="D397" t="s">
        <v>281</v>
      </c>
      <c r="E397" t="s">
        <v>1519</v>
      </c>
      <c r="F397" t="s">
        <v>2498</v>
      </c>
      <c r="G397" t="s">
        <v>262</v>
      </c>
      <c r="H397" t="s">
        <v>1473</v>
      </c>
      <c r="I397" t="s">
        <v>1479</v>
      </c>
      <c r="J397" t="s">
        <v>1517</v>
      </c>
      <c r="K397" t="s">
        <v>1518</v>
      </c>
      <c r="L397">
        <v>0</v>
      </c>
      <c r="M397">
        <v>117</v>
      </c>
      <c r="N397">
        <v>59000</v>
      </c>
      <c r="O397">
        <v>31.137277999999998</v>
      </c>
      <c r="P397">
        <v>35.719056000000002</v>
      </c>
      <c r="Q397" t="s">
        <v>638</v>
      </c>
      <c r="S397" t="s">
        <v>1776</v>
      </c>
      <c r="U397" t="s">
        <v>2499</v>
      </c>
      <c r="W397" t="s">
        <v>1520</v>
      </c>
      <c r="Y397" t="str">
        <f t="shared" si="32"/>
        <v/>
      </c>
      <c r="Z397" t="str">
        <f t="shared" si="31"/>
        <v/>
      </c>
      <c r="AA397" t="str">
        <f>IF(NOT("https://maps.app.goo.gl/pTtVtcYQptRE2XRWA" = ""), HYPERLINK("https://maps.app.goo.gl/pTtVtcYQptRE2XRWA", "موقع"), "")</f>
        <v>موقع</v>
      </c>
    </row>
    <row r="398" spans="1:27" x14ac:dyDescent="0.3">
      <c r="A398" t="s">
        <v>1521</v>
      </c>
      <c r="B398" s="1">
        <v>46182.512789351851</v>
      </c>
      <c r="C398" t="s">
        <v>1</v>
      </c>
      <c r="D398" t="s">
        <v>281</v>
      </c>
      <c r="E398" t="s">
        <v>1524</v>
      </c>
      <c r="F398" t="s">
        <v>2500</v>
      </c>
      <c r="G398" t="s">
        <v>262</v>
      </c>
      <c r="H398" t="s">
        <v>1473</v>
      </c>
      <c r="I398" t="s">
        <v>1474</v>
      </c>
      <c r="J398" t="s">
        <v>1522</v>
      </c>
      <c r="K398" t="s">
        <v>1523</v>
      </c>
      <c r="L398">
        <v>0</v>
      </c>
      <c r="M398">
        <v>631</v>
      </c>
      <c r="N398">
        <v>63000</v>
      </c>
      <c r="O398">
        <v>31.103750000000002</v>
      </c>
      <c r="P398">
        <v>35.692444000000002</v>
      </c>
      <c r="Q398" t="s">
        <v>1525</v>
      </c>
      <c r="S398" t="s">
        <v>1776</v>
      </c>
      <c r="U398" t="s">
        <v>2501</v>
      </c>
      <c r="W398" t="s">
        <v>1526</v>
      </c>
      <c r="Y398" t="str">
        <f t="shared" si="32"/>
        <v/>
      </c>
      <c r="Z398" t="str">
        <f t="shared" si="31"/>
        <v/>
      </c>
      <c r="AA398" t="str">
        <f>IF(NOT("https://maps.app.goo.gl/tE56ws3842kuVrpd9" = ""), HYPERLINK("https://maps.app.goo.gl/tE56ws3842kuVrpd9", "موقع"), "")</f>
        <v>موقع</v>
      </c>
    </row>
    <row r="399" spans="1:27" x14ac:dyDescent="0.3">
      <c r="A399" t="s">
        <v>1527</v>
      </c>
      <c r="B399" s="1">
        <v>46182.512789351851</v>
      </c>
      <c r="C399" t="s">
        <v>1</v>
      </c>
      <c r="D399" t="s">
        <v>281</v>
      </c>
      <c r="E399" t="s">
        <v>1530</v>
      </c>
      <c r="F399" t="s">
        <v>2502</v>
      </c>
      <c r="G399" t="s">
        <v>262</v>
      </c>
      <c r="H399" t="s">
        <v>1473</v>
      </c>
      <c r="I399" t="s">
        <v>1479</v>
      </c>
      <c r="J399" t="s">
        <v>1528</v>
      </c>
      <c r="K399" t="s">
        <v>1529</v>
      </c>
      <c r="L399">
        <v>0</v>
      </c>
      <c r="M399">
        <v>61</v>
      </c>
      <c r="N399">
        <v>141000</v>
      </c>
      <c r="O399">
        <v>31.182389000000001</v>
      </c>
      <c r="P399">
        <v>35.71275</v>
      </c>
      <c r="Q399" t="s">
        <v>1531</v>
      </c>
      <c r="S399" t="s">
        <v>1776</v>
      </c>
      <c r="U399" t="s">
        <v>2503</v>
      </c>
      <c r="W399" t="s">
        <v>1532</v>
      </c>
      <c r="Y399" t="str">
        <f t="shared" si="32"/>
        <v/>
      </c>
      <c r="Z399" t="str">
        <f t="shared" si="31"/>
        <v/>
      </c>
      <c r="AA399" t="str">
        <f>IF(NOT("https://maps.app.goo.gl/1o3zMBuKWctgbPRN6" = ""), HYPERLINK("https://maps.app.goo.gl/1o3zMBuKWctgbPRN6", "موقع"), "")</f>
        <v>موقع</v>
      </c>
    </row>
    <row r="400" spans="1:27" x14ac:dyDescent="0.3">
      <c r="A400" t="s">
        <v>1533</v>
      </c>
      <c r="B400" s="1">
        <v>46182.512789351851</v>
      </c>
      <c r="C400" t="s">
        <v>1</v>
      </c>
      <c r="D400" t="s">
        <v>391</v>
      </c>
      <c r="E400" t="s">
        <v>1476</v>
      </c>
      <c r="F400" t="s">
        <v>2504</v>
      </c>
      <c r="G400" t="s">
        <v>390</v>
      </c>
      <c r="H400" t="s">
        <v>1473</v>
      </c>
      <c r="I400" t="s">
        <v>1474</v>
      </c>
      <c r="J400" t="s">
        <v>1534</v>
      </c>
      <c r="K400" t="s">
        <v>1535</v>
      </c>
      <c r="L400">
        <v>0</v>
      </c>
      <c r="M400">
        <v>181</v>
      </c>
      <c r="N400">
        <v>15000</v>
      </c>
      <c r="O400">
        <v>31.048500000000001</v>
      </c>
      <c r="P400">
        <v>35.609305999999997</v>
      </c>
      <c r="Q400" t="s">
        <v>1536</v>
      </c>
      <c r="S400" t="s">
        <v>1776</v>
      </c>
      <c r="T400" t="s">
        <v>2505</v>
      </c>
      <c r="U400" t="s">
        <v>2506</v>
      </c>
      <c r="W400" t="s">
        <v>1537</v>
      </c>
      <c r="Y400" t="str">
        <f t="shared" si="32"/>
        <v/>
      </c>
      <c r="Z400" t="str">
        <f t="shared" si="31"/>
        <v/>
      </c>
      <c r="AA400" t="str">
        <f>IF(NOT("https://maps.app.goo.gl/vgSJRETDMvEV6DU9A" = ""), HYPERLINK("https://maps.app.goo.gl/vgSJRETDMvEV6DU9A", "موقع"), "")</f>
        <v>موقع</v>
      </c>
    </row>
    <row r="401" spans="1:27" x14ac:dyDescent="0.3">
      <c r="A401" t="s">
        <v>1538</v>
      </c>
      <c r="B401" s="1">
        <v>46182.512789351851</v>
      </c>
      <c r="C401" t="s">
        <v>1</v>
      </c>
      <c r="D401" t="s">
        <v>391</v>
      </c>
      <c r="E401" t="s">
        <v>318</v>
      </c>
      <c r="F401" t="s">
        <v>2507</v>
      </c>
      <c r="G401" t="s">
        <v>390</v>
      </c>
      <c r="H401" t="s">
        <v>1473</v>
      </c>
      <c r="I401" t="s">
        <v>1474</v>
      </c>
      <c r="J401" t="s">
        <v>1539</v>
      </c>
      <c r="K401" t="s">
        <v>1540</v>
      </c>
      <c r="L401">
        <v>0</v>
      </c>
      <c r="M401">
        <v>20</v>
      </c>
      <c r="N401">
        <v>17000</v>
      </c>
      <c r="Q401" t="s">
        <v>1541</v>
      </c>
      <c r="S401" t="s">
        <v>1776</v>
      </c>
      <c r="W401" t="s">
        <v>1542</v>
      </c>
      <c r="Y401" t="str">
        <f t="shared" si="32"/>
        <v/>
      </c>
      <c r="Z401" t="str">
        <f t="shared" si="31"/>
        <v/>
      </c>
      <c r="AA401" t="str">
        <f>IF(NOT("" = ""), HYPERLINK("", "موقع"), "")</f>
        <v/>
      </c>
    </row>
    <row r="402" spans="1:27" x14ac:dyDescent="0.3">
      <c r="A402" t="s">
        <v>1543</v>
      </c>
      <c r="B402" s="1">
        <v>46182.512789351851</v>
      </c>
      <c r="C402" t="s">
        <v>1</v>
      </c>
      <c r="D402" t="s">
        <v>421</v>
      </c>
      <c r="E402" t="s">
        <v>1476</v>
      </c>
      <c r="F402" t="s">
        <v>2508</v>
      </c>
      <c r="G402" t="s">
        <v>262</v>
      </c>
      <c r="H402" t="s">
        <v>1473</v>
      </c>
      <c r="I402" t="s">
        <v>1474</v>
      </c>
      <c r="J402" t="s">
        <v>1544</v>
      </c>
      <c r="K402" t="s">
        <v>300</v>
      </c>
      <c r="L402">
        <v>0</v>
      </c>
      <c r="M402">
        <v>120</v>
      </c>
      <c r="N402">
        <v>19000</v>
      </c>
      <c r="Q402" t="s">
        <v>323</v>
      </c>
      <c r="S402" t="s">
        <v>1776</v>
      </c>
      <c r="W402" t="s">
        <v>1545</v>
      </c>
      <c r="Y402" t="str">
        <f t="shared" si="32"/>
        <v/>
      </c>
      <c r="Z402" t="str">
        <f t="shared" si="31"/>
        <v/>
      </c>
      <c r="AA402" t="str">
        <f>IF(NOT("" = ""), HYPERLINK("", "موقع"), "")</f>
        <v/>
      </c>
    </row>
    <row r="403" spans="1:27" x14ac:dyDescent="0.3">
      <c r="A403" t="s">
        <v>1546</v>
      </c>
      <c r="B403" s="1">
        <v>46182.512789351851</v>
      </c>
      <c r="C403" t="s">
        <v>1</v>
      </c>
      <c r="D403" t="s">
        <v>421</v>
      </c>
      <c r="E403" t="s">
        <v>318</v>
      </c>
      <c r="F403" t="s">
        <v>2509</v>
      </c>
      <c r="G403" t="s">
        <v>262</v>
      </c>
      <c r="H403" t="s">
        <v>1473</v>
      </c>
      <c r="I403" t="s">
        <v>1485</v>
      </c>
      <c r="J403" t="s">
        <v>1547</v>
      </c>
      <c r="K403" t="s">
        <v>1548</v>
      </c>
      <c r="L403">
        <v>0</v>
      </c>
      <c r="M403">
        <v>381</v>
      </c>
      <c r="N403">
        <v>20000</v>
      </c>
      <c r="O403">
        <v>31.269777999999999</v>
      </c>
      <c r="P403">
        <v>35.532639000000003</v>
      </c>
      <c r="Q403" t="s">
        <v>1549</v>
      </c>
      <c r="S403" t="s">
        <v>1776</v>
      </c>
      <c r="U403" t="s">
        <v>2510</v>
      </c>
      <c r="W403" t="s">
        <v>1550</v>
      </c>
      <c r="Y403" t="str">
        <f t="shared" si="32"/>
        <v/>
      </c>
      <c r="Z403" t="str">
        <f t="shared" si="31"/>
        <v/>
      </c>
      <c r="AA403" t="str">
        <f>IF(NOT("https://maps.app.goo.gl/DSq21ccX4bDdsCMf9" = ""), HYPERLINK("https://maps.app.goo.gl/DSq21ccX4bDdsCMf9", "موقع"), "")</f>
        <v>موقع</v>
      </c>
    </row>
    <row r="404" spans="1:27" x14ac:dyDescent="0.3">
      <c r="A404" t="s">
        <v>1551</v>
      </c>
      <c r="B404" s="1">
        <v>46182.512789351851</v>
      </c>
      <c r="C404" t="s">
        <v>1</v>
      </c>
      <c r="D404" t="s">
        <v>421</v>
      </c>
      <c r="E404" t="s">
        <v>318</v>
      </c>
      <c r="F404" t="s">
        <v>2511</v>
      </c>
      <c r="G404" t="s">
        <v>262</v>
      </c>
      <c r="H404" t="s">
        <v>1473</v>
      </c>
      <c r="I404" t="s">
        <v>1485</v>
      </c>
      <c r="J404" t="s">
        <v>1552</v>
      </c>
      <c r="K404" t="s">
        <v>300</v>
      </c>
      <c r="L404">
        <v>0</v>
      </c>
      <c r="M404">
        <v>295</v>
      </c>
      <c r="N404">
        <v>20000</v>
      </c>
      <c r="O404">
        <v>31.288556</v>
      </c>
      <c r="P404">
        <v>35.540971999999996</v>
      </c>
      <c r="Q404" t="s">
        <v>1553</v>
      </c>
      <c r="S404" t="s">
        <v>1776</v>
      </c>
      <c r="U404" t="s">
        <v>2512</v>
      </c>
      <c r="W404" t="s">
        <v>1554</v>
      </c>
      <c r="Y404" t="str">
        <f t="shared" si="32"/>
        <v/>
      </c>
      <c r="Z404" t="str">
        <f t="shared" si="31"/>
        <v/>
      </c>
      <c r="AA404" t="str">
        <f>IF(NOT("https://maps.app.goo.gl/qYZVzkQWQxvbkaDu6" = ""), HYPERLINK("https://maps.app.goo.gl/qYZVzkQWQxvbkaDu6", "موقع"), "")</f>
        <v>موقع</v>
      </c>
    </row>
    <row r="405" spans="1:27" x14ac:dyDescent="0.3">
      <c r="A405" t="s">
        <v>1555</v>
      </c>
      <c r="B405" s="1">
        <v>46182.512789351851</v>
      </c>
      <c r="C405" t="s">
        <v>1</v>
      </c>
      <c r="D405" t="s">
        <v>421</v>
      </c>
      <c r="E405" t="s">
        <v>1476</v>
      </c>
      <c r="F405" t="s">
        <v>2513</v>
      </c>
      <c r="G405" t="s">
        <v>262</v>
      </c>
      <c r="H405" t="s">
        <v>1473</v>
      </c>
      <c r="I405" t="s">
        <v>1474</v>
      </c>
      <c r="J405" t="s">
        <v>1556</v>
      </c>
      <c r="K405" t="s">
        <v>79</v>
      </c>
      <c r="L405">
        <v>0</v>
      </c>
      <c r="M405">
        <v>38</v>
      </c>
      <c r="N405">
        <v>24000</v>
      </c>
      <c r="O405">
        <v>31.036805999999999</v>
      </c>
      <c r="P405">
        <v>35.722360999999999</v>
      </c>
      <c r="Q405" t="s">
        <v>1557</v>
      </c>
      <c r="S405" t="s">
        <v>1776</v>
      </c>
      <c r="U405" t="s">
        <v>2514</v>
      </c>
      <c r="W405" t="s">
        <v>1558</v>
      </c>
      <c r="Y405" t="str">
        <f t="shared" si="32"/>
        <v/>
      </c>
      <c r="Z405" t="str">
        <f t="shared" si="31"/>
        <v/>
      </c>
      <c r="AA405" t="str">
        <f>IF(NOT("https://maps.app.goo.gl/z5ujayfc7Y7kQ9Jd9" = ""), HYPERLINK("https://maps.app.goo.gl/z5ujayfc7Y7kQ9Jd9", "موقع"), "")</f>
        <v>موقع</v>
      </c>
    </row>
    <row r="406" spans="1:27" x14ac:dyDescent="0.3">
      <c r="A406" t="s">
        <v>1559</v>
      </c>
      <c r="B406" s="1">
        <v>46182.512789351851</v>
      </c>
      <c r="C406" t="s">
        <v>1</v>
      </c>
      <c r="D406" t="s">
        <v>263</v>
      </c>
      <c r="E406" t="s">
        <v>1564</v>
      </c>
      <c r="F406" t="s">
        <v>2515</v>
      </c>
      <c r="G406" t="s">
        <v>262</v>
      </c>
      <c r="H406" t="s">
        <v>1560</v>
      </c>
      <c r="I406" t="s">
        <v>1561</v>
      </c>
      <c r="J406" t="s">
        <v>1562</v>
      </c>
      <c r="K406" t="s">
        <v>1563</v>
      </c>
      <c r="L406">
        <v>0</v>
      </c>
      <c r="M406">
        <v>201</v>
      </c>
      <c r="N406">
        <v>397000</v>
      </c>
      <c r="O406">
        <v>32.341056000000002</v>
      </c>
      <c r="P406">
        <v>36.205972000000003</v>
      </c>
      <c r="Q406" t="s">
        <v>1565</v>
      </c>
      <c r="S406" t="s">
        <v>1776</v>
      </c>
      <c r="U406" t="s">
        <v>2516</v>
      </c>
      <c r="W406" t="s">
        <v>1566</v>
      </c>
      <c r="Y406" t="str">
        <f t="shared" si="32"/>
        <v/>
      </c>
      <c r="Z406" t="str">
        <f t="shared" si="31"/>
        <v/>
      </c>
      <c r="AA406" t="str">
        <f>IF(NOT("https://maps.app.goo.gl/HpwzmeKxKUEVLoYZ7" = ""), HYPERLINK("https://maps.app.goo.gl/HpwzmeKxKUEVLoYZ7", "موقع"), "")</f>
        <v>موقع</v>
      </c>
    </row>
    <row r="407" spans="1:27" x14ac:dyDescent="0.3">
      <c r="A407" t="s">
        <v>1567</v>
      </c>
      <c r="B407" s="1">
        <v>46182.512789351851</v>
      </c>
      <c r="C407" t="s">
        <v>1</v>
      </c>
      <c r="D407" t="s">
        <v>281</v>
      </c>
      <c r="E407" t="s">
        <v>1570</v>
      </c>
      <c r="F407" t="s">
        <v>2517</v>
      </c>
      <c r="G407" t="s">
        <v>262</v>
      </c>
      <c r="H407" t="s">
        <v>1560</v>
      </c>
      <c r="I407" t="s">
        <v>1561</v>
      </c>
      <c r="J407" t="s">
        <v>1568</v>
      </c>
      <c r="K407" t="s">
        <v>1569</v>
      </c>
      <c r="L407">
        <v>0</v>
      </c>
      <c r="M407">
        <v>48</v>
      </c>
      <c r="N407">
        <v>17000</v>
      </c>
      <c r="Q407" t="s">
        <v>1571</v>
      </c>
      <c r="S407" t="s">
        <v>1776</v>
      </c>
      <c r="W407" t="s">
        <v>1572</v>
      </c>
      <c r="Y407" t="str">
        <f t="shared" si="32"/>
        <v/>
      </c>
      <c r="Z407" t="str">
        <f t="shared" si="31"/>
        <v/>
      </c>
      <c r="AA407" t="str">
        <f>IF(NOT("" = ""), HYPERLINK("", "موقع"), "")</f>
        <v/>
      </c>
    </row>
    <row r="408" spans="1:27" x14ac:dyDescent="0.3">
      <c r="A408" t="s">
        <v>1573</v>
      </c>
      <c r="B408" s="1">
        <v>46182.512789351851</v>
      </c>
      <c r="C408" t="s">
        <v>1</v>
      </c>
      <c r="D408" t="s">
        <v>281</v>
      </c>
      <c r="E408" t="s">
        <v>1577</v>
      </c>
      <c r="F408" t="s">
        <v>2518</v>
      </c>
      <c r="G408" t="s">
        <v>262</v>
      </c>
      <c r="H408" t="s">
        <v>1560</v>
      </c>
      <c r="I408" t="s">
        <v>1574</v>
      </c>
      <c r="J408" t="s">
        <v>1575</v>
      </c>
      <c r="K408" t="s">
        <v>1576</v>
      </c>
      <c r="L408">
        <v>0</v>
      </c>
      <c r="M408">
        <v>732</v>
      </c>
      <c r="N408">
        <v>18000</v>
      </c>
      <c r="O408">
        <v>32.332472000000003</v>
      </c>
      <c r="P408">
        <v>36.369083000000003</v>
      </c>
      <c r="Q408" t="s">
        <v>1578</v>
      </c>
      <c r="S408" t="s">
        <v>1776</v>
      </c>
      <c r="U408" t="s">
        <v>2519</v>
      </c>
      <c r="W408" t="s">
        <v>1579</v>
      </c>
      <c r="Y408" t="str">
        <f t="shared" si="32"/>
        <v/>
      </c>
      <c r="Z408" t="str">
        <f t="shared" si="31"/>
        <v/>
      </c>
      <c r="AA408" t="str">
        <f>IF(NOT("https://maps.app.goo.gl/rFUTyaqvDHACyK45A" = ""), HYPERLINK("https://maps.app.goo.gl/rFUTyaqvDHACyK45A", "موقع"), "")</f>
        <v>موقع</v>
      </c>
    </row>
    <row r="409" spans="1:27" x14ac:dyDescent="0.3">
      <c r="A409" t="s">
        <v>1580</v>
      </c>
      <c r="B409" s="1">
        <v>46182.512789351851</v>
      </c>
      <c r="C409" t="s">
        <v>1</v>
      </c>
      <c r="D409" t="s">
        <v>281</v>
      </c>
      <c r="E409" t="s">
        <v>1583</v>
      </c>
      <c r="F409" t="s">
        <v>2520</v>
      </c>
      <c r="G409" t="s">
        <v>262</v>
      </c>
      <c r="H409" t="s">
        <v>1560</v>
      </c>
      <c r="I409" t="s">
        <v>1561</v>
      </c>
      <c r="J409" t="s">
        <v>1581</v>
      </c>
      <c r="K409" t="s">
        <v>1582</v>
      </c>
      <c r="L409">
        <v>0</v>
      </c>
      <c r="M409">
        <v>715</v>
      </c>
      <c r="N409">
        <v>25000</v>
      </c>
      <c r="O409">
        <v>32.441139</v>
      </c>
      <c r="P409">
        <v>36.149943999999998</v>
      </c>
      <c r="Q409" t="s">
        <v>1584</v>
      </c>
      <c r="S409" t="s">
        <v>1776</v>
      </c>
      <c r="U409" t="s">
        <v>2521</v>
      </c>
      <c r="W409" t="s">
        <v>1585</v>
      </c>
      <c r="Y409" t="str">
        <f t="shared" si="32"/>
        <v/>
      </c>
      <c r="Z409" t="str">
        <f t="shared" si="31"/>
        <v/>
      </c>
      <c r="AA409" t="str">
        <f>IF(NOT("https://maps.app.goo.gl/UpXAnNYzm3PvHZLJ6" = ""), HYPERLINK("https://maps.app.goo.gl/UpXAnNYzm3PvHZLJ6", "موقع"), "")</f>
        <v>موقع</v>
      </c>
    </row>
    <row r="410" spans="1:27" x14ac:dyDescent="0.3">
      <c r="A410" t="s">
        <v>1586</v>
      </c>
      <c r="B410" s="1">
        <v>46182.512789351851</v>
      </c>
      <c r="C410" t="s">
        <v>1</v>
      </c>
      <c r="D410" t="s">
        <v>281</v>
      </c>
      <c r="E410" t="s">
        <v>1589</v>
      </c>
      <c r="F410" t="s">
        <v>2522</v>
      </c>
      <c r="G410" t="s">
        <v>262</v>
      </c>
      <c r="H410" t="s">
        <v>1560</v>
      </c>
      <c r="I410" t="s">
        <v>1574</v>
      </c>
      <c r="J410" t="s">
        <v>1587</v>
      </c>
      <c r="K410" t="s">
        <v>1588</v>
      </c>
      <c r="L410">
        <v>0</v>
      </c>
      <c r="M410">
        <v>762</v>
      </c>
      <c r="N410">
        <v>29000</v>
      </c>
      <c r="Q410" t="s">
        <v>1590</v>
      </c>
      <c r="S410" t="s">
        <v>1776</v>
      </c>
      <c r="W410" t="s">
        <v>1591</v>
      </c>
      <c r="Y410" t="str">
        <f t="shared" si="32"/>
        <v/>
      </c>
      <c r="Z410" t="str">
        <f t="shared" ref="Z410:Z431" si="33">IF(NOT("" = ""), HYPERLINK("", "جولة"), "")</f>
        <v/>
      </c>
      <c r="AA410" t="str">
        <f>IF(NOT("" = ""), HYPERLINK("", "موقع"), "")</f>
        <v/>
      </c>
    </row>
    <row r="411" spans="1:27" x14ac:dyDescent="0.3">
      <c r="A411" t="s">
        <v>1592</v>
      </c>
      <c r="B411" s="1">
        <v>46182.512789351851</v>
      </c>
      <c r="C411" t="s">
        <v>1</v>
      </c>
      <c r="D411" t="s">
        <v>281</v>
      </c>
      <c r="E411" t="s">
        <v>1595</v>
      </c>
      <c r="F411" t="s">
        <v>2523</v>
      </c>
      <c r="G411" t="s">
        <v>262</v>
      </c>
      <c r="H411" t="s">
        <v>1560</v>
      </c>
      <c r="I411" t="s">
        <v>1561</v>
      </c>
      <c r="J411" t="s">
        <v>1593</v>
      </c>
      <c r="K411" t="s">
        <v>1594</v>
      </c>
      <c r="L411">
        <v>0</v>
      </c>
      <c r="M411">
        <v>490</v>
      </c>
      <c r="N411">
        <v>33000</v>
      </c>
      <c r="O411">
        <v>32.140110999999997</v>
      </c>
      <c r="P411">
        <v>36.279083</v>
      </c>
      <c r="Q411" t="s">
        <v>1596</v>
      </c>
      <c r="S411" t="s">
        <v>1776</v>
      </c>
      <c r="U411" t="s">
        <v>2524</v>
      </c>
      <c r="W411" t="s">
        <v>1597</v>
      </c>
      <c r="Y411" t="str">
        <f t="shared" si="32"/>
        <v/>
      </c>
      <c r="Z411" t="str">
        <f t="shared" si="33"/>
        <v/>
      </c>
      <c r="AA411" t="str">
        <f>IF(NOT("https://maps.app.goo.gl/dN865BrbXKDGjGUB7" = ""), HYPERLINK("https://maps.app.goo.gl/dN865BrbXKDGjGUB7", "موقع"), "")</f>
        <v>موقع</v>
      </c>
    </row>
    <row r="412" spans="1:27" x14ac:dyDescent="0.3">
      <c r="A412" t="s">
        <v>1598</v>
      </c>
      <c r="B412" s="1">
        <v>46182.512789351851</v>
      </c>
      <c r="C412" t="s">
        <v>1</v>
      </c>
      <c r="D412" t="s">
        <v>281</v>
      </c>
      <c r="E412" t="s">
        <v>318</v>
      </c>
      <c r="F412" t="s">
        <v>2525</v>
      </c>
      <c r="G412" t="s">
        <v>262</v>
      </c>
      <c r="H412" t="s">
        <v>1560</v>
      </c>
      <c r="I412" t="s">
        <v>1561</v>
      </c>
      <c r="J412" t="s">
        <v>1562</v>
      </c>
      <c r="K412" t="s">
        <v>1599</v>
      </c>
      <c r="L412">
        <v>0</v>
      </c>
      <c r="M412">
        <v>700</v>
      </c>
      <c r="N412">
        <v>43000</v>
      </c>
      <c r="O412">
        <v>32.351306000000001</v>
      </c>
      <c r="P412">
        <v>36.206583000000002</v>
      </c>
      <c r="Q412" t="s">
        <v>1600</v>
      </c>
      <c r="S412" t="s">
        <v>1776</v>
      </c>
      <c r="U412" t="s">
        <v>2526</v>
      </c>
      <c r="W412" t="s">
        <v>1601</v>
      </c>
      <c r="Y412" t="str">
        <f t="shared" si="32"/>
        <v/>
      </c>
      <c r="Z412" t="str">
        <f t="shared" si="33"/>
        <v/>
      </c>
      <c r="AA412" t="str">
        <f>IF(NOT("https://maps.app.goo.gl/AfnSgEKkf22T5P819" = ""), HYPERLINK("https://maps.app.goo.gl/AfnSgEKkf22T5P819", "موقع"), "")</f>
        <v>موقع</v>
      </c>
    </row>
    <row r="413" spans="1:27" x14ac:dyDescent="0.3">
      <c r="A413" t="s">
        <v>1602</v>
      </c>
      <c r="B413" s="1">
        <v>46182.512789351851</v>
      </c>
      <c r="C413" t="s">
        <v>1</v>
      </c>
      <c r="D413" t="s">
        <v>281</v>
      </c>
      <c r="E413" t="s">
        <v>1605</v>
      </c>
      <c r="F413" t="s">
        <v>2527</v>
      </c>
      <c r="G413" t="s">
        <v>262</v>
      </c>
      <c r="H413" t="s">
        <v>1560</v>
      </c>
      <c r="I413" t="s">
        <v>1561</v>
      </c>
      <c r="J413" t="s">
        <v>1603</v>
      </c>
      <c r="K413" t="s">
        <v>1604</v>
      </c>
      <c r="L413">
        <v>0</v>
      </c>
      <c r="M413">
        <v>735</v>
      </c>
      <c r="N413">
        <v>60000</v>
      </c>
      <c r="Q413" t="s">
        <v>1606</v>
      </c>
      <c r="S413" t="s">
        <v>1776</v>
      </c>
      <c r="W413" t="s">
        <v>1607</v>
      </c>
      <c r="Y413" t="str">
        <f t="shared" si="32"/>
        <v/>
      </c>
      <c r="Z413" t="str">
        <f t="shared" si="33"/>
        <v/>
      </c>
      <c r="AA413" t="str">
        <f>IF(NOT("" = ""), HYPERLINK("", "موقع"), "")</f>
        <v/>
      </c>
    </row>
    <row r="414" spans="1:27" x14ac:dyDescent="0.3">
      <c r="A414" t="s">
        <v>1608</v>
      </c>
      <c r="B414" s="1">
        <v>46182.512789351851</v>
      </c>
      <c r="C414" t="s">
        <v>1</v>
      </c>
      <c r="D414" t="s">
        <v>281</v>
      </c>
      <c r="E414" t="s">
        <v>1611</v>
      </c>
      <c r="F414" t="s">
        <v>2528</v>
      </c>
      <c r="G414" t="s">
        <v>262</v>
      </c>
      <c r="H414" t="s">
        <v>1560</v>
      </c>
      <c r="I414" t="s">
        <v>1561</v>
      </c>
      <c r="J414" t="s">
        <v>1609</v>
      </c>
      <c r="K414" t="s">
        <v>1610</v>
      </c>
      <c r="L414">
        <v>0</v>
      </c>
      <c r="M414">
        <v>98</v>
      </c>
      <c r="N414">
        <v>121000</v>
      </c>
      <c r="O414">
        <v>32.272193999999999</v>
      </c>
      <c r="P414">
        <v>36.084944</v>
      </c>
      <c r="Q414" t="s">
        <v>1612</v>
      </c>
      <c r="S414" t="s">
        <v>1776</v>
      </c>
      <c r="U414" t="s">
        <v>2529</v>
      </c>
      <c r="W414" t="s">
        <v>1613</v>
      </c>
      <c r="Y414" t="str">
        <f t="shared" si="32"/>
        <v/>
      </c>
      <c r="Z414" t="str">
        <f t="shared" si="33"/>
        <v/>
      </c>
      <c r="AA414" t="str">
        <f>IF(NOT("https://maps.app.goo.gl/k355T1oootKL9wnWA" = ""), HYPERLINK("https://maps.app.goo.gl/k355T1oootKL9wnWA", "موقع"), "")</f>
        <v>موقع</v>
      </c>
    </row>
    <row r="415" spans="1:27" x14ac:dyDescent="0.3">
      <c r="A415" t="s">
        <v>1614</v>
      </c>
      <c r="B415" s="1">
        <v>46182.512789351851</v>
      </c>
      <c r="C415" t="s">
        <v>1</v>
      </c>
      <c r="D415" t="s">
        <v>281</v>
      </c>
      <c r="E415" t="s">
        <v>1617</v>
      </c>
      <c r="F415" t="s">
        <v>2530</v>
      </c>
      <c r="G415" t="s">
        <v>262</v>
      </c>
      <c r="H415" t="s">
        <v>1560</v>
      </c>
      <c r="I415" t="s">
        <v>1561</v>
      </c>
      <c r="J415" t="s">
        <v>1615</v>
      </c>
      <c r="K415" t="s">
        <v>1616</v>
      </c>
      <c r="L415">
        <v>0</v>
      </c>
      <c r="M415">
        <v>463</v>
      </c>
      <c r="N415">
        <v>177000</v>
      </c>
      <c r="Q415" t="s">
        <v>1618</v>
      </c>
      <c r="S415" t="s">
        <v>1776</v>
      </c>
      <c r="W415" t="s">
        <v>1619</v>
      </c>
      <c r="Y415" t="str">
        <f t="shared" si="32"/>
        <v/>
      </c>
      <c r="Z415" t="str">
        <f t="shared" si="33"/>
        <v/>
      </c>
      <c r="AA415" t="str">
        <f>IF(NOT("" = ""), HYPERLINK("", "موقع"), "")</f>
        <v/>
      </c>
    </row>
    <row r="416" spans="1:27" x14ac:dyDescent="0.3">
      <c r="A416" t="s">
        <v>1620</v>
      </c>
      <c r="B416" s="1">
        <v>46182.512789351851</v>
      </c>
      <c r="C416" t="s">
        <v>1</v>
      </c>
      <c r="D416" t="s">
        <v>391</v>
      </c>
      <c r="E416" t="s">
        <v>1611</v>
      </c>
      <c r="F416" t="s">
        <v>2531</v>
      </c>
      <c r="G416" t="s">
        <v>390</v>
      </c>
      <c r="H416" t="s">
        <v>1560</v>
      </c>
      <c r="I416" t="s">
        <v>1561</v>
      </c>
      <c r="J416" t="s">
        <v>1609</v>
      </c>
      <c r="K416" t="s">
        <v>1621</v>
      </c>
      <c r="L416">
        <v>0</v>
      </c>
      <c r="M416">
        <v>740</v>
      </c>
      <c r="N416">
        <v>5000</v>
      </c>
      <c r="Q416" t="s">
        <v>1622</v>
      </c>
      <c r="S416" t="s">
        <v>1776</v>
      </c>
      <c r="W416" t="s">
        <v>1623</v>
      </c>
      <c r="Y416" t="str">
        <f t="shared" si="32"/>
        <v/>
      </c>
      <c r="Z416" t="str">
        <f t="shared" si="33"/>
        <v/>
      </c>
      <c r="AA416" t="str">
        <f>IF(NOT("" = ""), HYPERLINK("", "موقع"), "")</f>
        <v/>
      </c>
    </row>
    <row r="417" spans="1:27" x14ac:dyDescent="0.3">
      <c r="A417" t="s">
        <v>1624</v>
      </c>
      <c r="B417" s="1">
        <v>46182.512789351851</v>
      </c>
      <c r="C417" t="s">
        <v>1</v>
      </c>
      <c r="D417" t="s">
        <v>391</v>
      </c>
      <c r="E417" t="s">
        <v>1611</v>
      </c>
      <c r="F417" t="s">
        <v>2532</v>
      </c>
      <c r="G417" t="s">
        <v>390</v>
      </c>
      <c r="H417" t="s">
        <v>1560</v>
      </c>
      <c r="I417" t="s">
        <v>1561</v>
      </c>
      <c r="J417" t="s">
        <v>1609</v>
      </c>
      <c r="K417" t="s">
        <v>1625</v>
      </c>
      <c r="L417">
        <v>0</v>
      </c>
      <c r="M417">
        <v>245</v>
      </c>
      <c r="N417">
        <v>6000</v>
      </c>
      <c r="O417">
        <v>32.288694</v>
      </c>
      <c r="P417">
        <v>36.099139000000001</v>
      </c>
      <c r="Q417" t="s">
        <v>1626</v>
      </c>
      <c r="S417" t="s">
        <v>1776</v>
      </c>
      <c r="T417" t="s">
        <v>2533</v>
      </c>
      <c r="U417" t="s">
        <v>2534</v>
      </c>
      <c r="W417" t="s">
        <v>1627</v>
      </c>
      <c r="Y417" t="str">
        <f t="shared" si="32"/>
        <v/>
      </c>
      <c r="Z417" t="str">
        <f t="shared" si="33"/>
        <v/>
      </c>
      <c r="AA417" t="str">
        <f>IF(NOT("https://maps.app.goo.gl/dT6kJTV6k5NGPTyG9" = ""), HYPERLINK("https://maps.app.goo.gl/dT6kJTV6k5NGPTyG9", "موقع"), "")</f>
        <v>موقع</v>
      </c>
    </row>
    <row r="418" spans="1:27" x14ac:dyDescent="0.3">
      <c r="A418" t="s">
        <v>1628</v>
      </c>
      <c r="B418" s="1">
        <v>46182.512789351851</v>
      </c>
      <c r="C418" t="s">
        <v>1</v>
      </c>
      <c r="D418" t="s">
        <v>391</v>
      </c>
      <c r="E418" t="s">
        <v>1631</v>
      </c>
      <c r="F418" t="s">
        <v>2535</v>
      </c>
      <c r="G418" t="s">
        <v>390</v>
      </c>
      <c r="H418" t="s">
        <v>1560</v>
      </c>
      <c r="I418" t="s">
        <v>1561</v>
      </c>
      <c r="J418" t="s">
        <v>1629</v>
      </c>
      <c r="K418" t="s">
        <v>1630</v>
      </c>
      <c r="L418">
        <v>0</v>
      </c>
      <c r="M418">
        <v>724</v>
      </c>
      <c r="N418">
        <v>11000</v>
      </c>
      <c r="Q418" t="s">
        <v>1632</v>
      </c>
      <c r="S418" t="s">
        <v>1776</v>
      </c>
      <c r="W418" t="s">
        <v>1633</v>
      </c>
      <c r="Y418" t="str">
        <f t="shared" si="32"/>
        <v/>
      </c>
      <c r="Z418" t="str">
        <f t="shared" si="33"/>
        <v/>
      </c>
      <c r="AA418" t="str">
        <f>IF(NOT("" = ""), HYPERLINK("", "موقع"), "")</f>
        <v/>
      </c>
    </row>
    <row r="419" spans="1:27" x14ac:dyDescent="0.3">
      <c r="A419" t="s">
        <v>1634</v>
      </c>
      <c r="B419" s="1">
        <v>46182.512789351851</v>
      </c>
      <c r="C419" t="s">
        <v>1</v>
      </c>
      <c r="D419" t="s">
        <v>391</v>
      </c>
      <c r="E419" t="s">
        <v>1631</v>
      </c>
      <c r="F419" t="s">
        <v>2536</v>
      </c>
      <c r="G419" t="s">
        <v>390</v>
      </c>
      <c r="H419" t="s">
        <v>1560</v>
      </c>
      <c r="I419" t="s">
        <v>1561</v>
      </c>
      <c r="J419" t="s">
        <v>1629</v>
      </c>
      <c r="K419" t="s">
        <v>1635</v>
      </c>
      <c r="L419">
        <v>0</v>
      </c>
      <c r="M419">
        <v>993</v>
      </c>
      <c r="N419">
        <v>20000</v>
      </c>
      <c r="Q419" t="s">
        <v>1636</v>
      </c>
      <c r="S419" t="s">
        <v>1776</v>
      </c>
      <c r="W419" t="s">
        <v>1637</v>
      </c>
      <c r="Y419" t="str">
        <f t="shared" ref="Y419:Y441" si="34">IF(NOT("" = ""), HYPERLINK("", "فيديو"), "")</f>
        <v/>
      </c>
      <c r="Z419" t="str">
        <f t="shared" si="33"/>
        <v/>
      </c>
      <c r="AA419" t="str">
        <f>IF(NOT("" = ""), HYPERLINK("", "موقع"), "")</f>
        <v/>
      </c>
    </row>
    <row r="420" spans="1:27" x14ac:dyDescent="0.3">
      <c r="A420" t="s">
        <v>1638</v>
      </c>
      <c r="B420" s="1">
        <v>46182.512789351851</v>
      </c>
      <c r="C420" t="s">
        <v>1</v>
      </c>
      <c r="D420" t="s">
        <v>391</v>
      </c>
      <c r="E420" t="s">
        <v>1631</v>
      </c>
      <c r="F420" t="s">
        <v>2537</v>
      </c>
      <c r="G420" t="s">
        <v>390</v>
      </c>
      <c r="H420" t="s">
        <v>1560</v>
      </c>
      <c r="I420" t="s">
        <v>1561</v>
      </c>
      <c r="J420" t="s">
        <v>1629</v>
      </c>
      <c r="K420" t="s">
        <v>1635</v>
      </c>
      <c r="L420">
        <v>0</v>
      </c>
      <c r="M420">
        <v>994</v>
      </c>
      <c r="N420">
        <v>20000</v>
      </c>
      <c r="Q420" t="s">
        <v>1639</v>
      </c>
      <c r="S420" t="s">
        <v>1776</v>
      </c>
      <c r="W420" t="s">
        <v>1640</v>
      </c>
      <c r="Y420" t="str">
        <f t="shared" si="34"/>
        <v/>
      </c>
      <c r="Z420" t="str">
        <f t="shared" si="33"/>
        <v/>
      </c>
      <c r="AA420" t="str">
        <f>IF(NOT("" = ""), HYPERLINK("", "موقع"), "")</f>
        <v/>
      </c>
    </row>
    <row r="421" spans="1:27" x14ac:dyDescent="0.3">
      <c r="A421" t="s">
        <v>1641</v>
      </c>
      <c r="B421" s="1">
        <v>46182.512789351851</v>
      </c>
      <c r="C421" t="s">
        <v>1</v>
      </c>
      <c r="D421" t="s">
        <v>391</v>
      </c>
      <c r="E421" t="s">
        <v>1644</v>
      </c>
      <c r="F421" t="s">
        <v>2538</v>
      </c>
      <c r="G421" t="s">
        <v>390</v>
      </c>
      <c r="H421" t="s">
        <v>1560</v>
      </c>
      <c r="I421" t="s">
        <v>1561</v>
      </c>
      <c r="J421" t="s">
        <v>1642</v>
      </c>
      <c r="K421" t="s">
        <v>1643</v>
      </c>
      <c r="L421">
        <v>0</v>
      </c>
      <c r="M421">
        <v>37</v>
      </c>
      <c r="N421">
        <v>34000</v>
      </c>
      <c r="Q421" t="s">
        <v>1645</v>
      </c>
      <c r="S421" t="s">
        <v>1776</v>
      </c>
      <c r="W421" t="s">
        <v>1646</v>
      </c>
      <c r="Y421" t="str">
        <f t="shared" si="34"/>
        <v/>
      </c>
      <c r="Z421" t="str">
        <f t="shared" si="33"/>
        <v/>
      </c>
      <c r="AA421" t="str">
        <f>IF(NOT("" = ""), HYPERLINK("", "موقع"), "")</f>
        <v/>
      </c>
    </row>
    <row r="422" spans="1:27" x14ac:dyDescent="0.3">
      <c r="A422" t="s">
        <v>1647</v>
      </c>
      <c r="B422" s="1">
        <v>46182.512789351851</v>
      </c>
      <c r="C422" t="s">
        <v>1</v>
      </c>
      <c r="D422" t="s">
        <v>391</v>
      </c>
      <c r="E422" t="s">
        <v>1631</v>
      </c>
      <c r="F422" t="s">
        <v>2535</v>
      </c>
      <c r="G422" t="s">
        <v>390</v>
      </c>
      <c r="H422" t="s">
        <v>1560</v>
      </c>
      <c r="I422" t="s">
        <v>1561</v>
      </c>
      <c r="J422" t="s">
        <v>1629</v>
      </c>
      <c r="K422" t="s">
        <v>1635</v>
      </c>
      <c r="L422">
        <v>0</v>
      </c>
      <c r="M422">
        <v>996</v>
      </c>
      <c r="N422">
        <v>40000</v>
      </c>
      <c r="Q422" t="s">
        <v>1648</v>
      </c>
      <c r="S422" t="s">
        <v>1776</v>
      </c>
      <c r="W422" t="s">
        <v>1649</v>
      </c>
      <c r="Y422" t="str">
        <f t="shared" si="34"/>
        <v/>
      </c>
      <c r="Z422" t="str">
        <f t="shared" si="33"/>
        <v/>
      </c>
      <c r="AA422" t="str">
        <f>IF(NOT("" = ""), HYPERLINK("", "موقع"), "")</f>
        <v/>
      </c>
    </row>
    <row r="423" spans="1:27" x14ac:dyDescent="0.3">
      <c r="A423" t="s">
        <v>1650</v>
      </c>
      <c r="B423" s="1">
        <v>46182.512789351851</v>
      </c>
      <c r="C423" t="s">
        <v>1</v>
      </c>
      <c r="D423" t="s">
        <v>391</v>
      </c>
      <c r="E423" t="s">
        <v>1652</v>
      </c>
      <c r="F423" t="s">
        <v>2539</v>
      </c>
      <c r="G423" t="s">
        <v>390</v>
      </c>
      <c r="H423" t="s">
        <v>1560</v>
      </c>
      <c r="I423" t="s">
        <v>1561</v>
      </c>
      <c r="J423" t="s">
        <v>1562</v>
      </c>
      <c r="K423" t="s">
        <v>1651</v>
      </c>
      <c r="L423">
        <v>0</v>
      </c>
      <c r="M423">
        <v>306</v>
      </c>
      <c r="N423">
        <v>49000</v>
      </c>
      <c r="O423">
        <v>32.323222000000001</v>
      </c>
      <c r="P423">
        <v>36.219805999999998</v>
      </c>
      <c r="Q423" t="s">
        <v>1653</v>
      </c>
      <c r="S423" t="s">
        <v>1776</v>
      </c>
      <c r="T423" t="s">
        <v>2540</v>
      </c>
      <c r="U423" t="s">
        <v>2541</v>
      </c>
      <c r="W423" t="s">
        <v>1654</v>
      </c>
      <c r="Y423" t="str">
        <f t="shared" si="34"/>
        <v/>
      </c>
      <c r="Z423" t="str">
        <f t="shared" si="33"/>
        <v/>
      </c>
      <c r="AA423" t="str">
        <f>IF(NOT("https://maps.app.goo.gl/K8zsdyQ4hX6ALtGE9" = ""), HYPERLINK("https://maps.app.goo.gl/K8zsdyQ4hX6ALtGE9", "موقع"), "")</f>
        <v>موقع</v>
      </c>
    </row>
    <row r="424" spans="1:27" x14ac:dyDescent="0.3">
      <c r="A424" t="s">
        <v>1655</v>
      </c>
      <c r="B424" s="1">
        <v>46182.512789351851</v>
      </c>
      <c r="C424" t="s">
        <v>1</v>
      </c>
      <c r="D424" t="s">
        <v>391</v>
      </c>
      <c r="E424" t="s">
        <v>1611</v>
      </c>
      <c r="F424" t="s">
        <v>2542</v>
      </c>
      <c r="G424" t="s">
        <v>390</v>
      </c>
      <c r="H424" t="s">
        <v>1560</v>
      </c>
      <c r="I424" t="s">
        <v>1561</v>
      </c>
      <c r="J424" t="s">
        <v>1609</v>
      </c>
      <c r="K424" t="s">
        <v>1656</v>
      </c>
      <c r="L424">
        <v>0</v>
      </c>
      <c r="M424">
        <v>703</v>
      </c>
      <c r="N424">
        <v>73000</v>
      </c>
      <c r="Q424" t="s">
        <v>1657</v>
      </c>
      <c r="S424" t="s">
        <v>1776</v>
      </c>
      <c r="W424" t="s">
        <v>1623</v>
      </c>
      <c r="Y424" t="str">
        <f t="shared" si="34"/>
        <v/>
      </c>
      <c r="Z424" t="str">
        <f t="shared" si="33"/>
        <v/>
      </c>
      <c r="AA424" t="str">
        <f>IF(NOT("" = ""), HYPERLINK("", "موقع"), "")</f>
        <v/>
      </c>
    </row>
    <row r="425" spans="1:27" x14ac:dyDescent="0.3">
      <c r="A425" t="s">
        <v>1658</v>
      </c>
      <c r="B425" s="1">
        <v>46182.512789351851</v>
      </c>
      <c r="C425" t="s">
        <v>1</v>
      </c>
      <c r="D425" t="s">
        <v>391</v>
      </c>
      <c r="E425" t="s">
        <v>1611</v>
      </c>
      <c r="F425" t="s">
        <v>2543</v>
      </c>
      <c r="G425" t="s">
        <v>390</v>
      </c>
      <c r="H425" t="s">
        <v>1560</v>
      </c>
      <c r="I425" t="s">
        <v>1561</v>
      </c>
      <c r="J425" t="s">
        <v>1609</v>
      </c>
      <c r="K425" t="s">
        <v>1659</v>
      </c>
      <c r="L425">
        <v>0</v>
      </c>
      <c r="M425">
        <v>16</v>
      </c>
      <c r="N425">
        <v>76000</v>
      </c>
      <c r="Q425" t="s">
        <v>1660</v>
      </c>
      <c r="S425" t="s">
        <v>1776</v>
      </c>
      <c r="W425" t="s">
        <v>1623</v>
      </c>
      <c r="Y425" t="str">
        <f t="shared" si="34"/>
        <v/>
      </c>
      <c r="Z425" t="str">
        <f t="shared" si="33"/>
        <v/>
      </c>
      <c r="AA425" t="str">
        <f>IF(NOT("" = ""), HYPERLINK("", "موقع"), "")</f>
        <v/>
      </c>
    </row>
    <row r="426" spans="1:27" x14ac:dyDescent="0.3">
      <c r="A426" t="s">
        <v>1661</v>
      </c>
      <c r="B426" s="1">
        <v>46182.512789351851</v>
      </c>
      <c r="C426" t="s">
        <v>1</v>
      </c>
      <c r="D426" t="s">
        <v>421</v>
      </c>
      <c r="E426" t="s">
        <v>1644</v>
      </c>
      <c r="F426" t="s">
        <v>2544</v>
      </c>
      <c r="G426" t="s">
        <v>262</v>
      </c>
      <c r="H426" t="s">
        <v>1560</v>
      </c>
      <c r="I426" t="s">
        <v>1561</v>
      </c>
      <c r="J426" t="s">
        <v>1662</v>
      </c>
      <c r="K426" t="s">
        <v>1563</v>
      </c>
      <c r="L426">
        <v>0</v>
      </c>
      <c r="M426">
        <v>706</v>
      </c>
      <c r="N426">
        <v>17000</v>
      </c>
      <c r="O426">
        <v>32.269306</v>
      </c>
      <c r="P426">
        <v>36.152472000000003</v>
      </c>
      <c r="Q426" t="s">
        <v>1663</v>
      </c>
      <c r="S426" t="s">
        <v>1776</v>
      </c>
      <c r="U426" t="s">
        <v>2545</v>
      </c>
      <c r="W426" t="s">
        <v>1664</v>
      </c>
      <c r="Y426" t="str">
        <f t="shared" si="34"/>
        <v/>
      </c>
      <c r="Z426" t="str">
        <f t="shared" si="33"/>
        <v/>
      </c>
      <c r="AA426" t="str">
        <f>IF(NOT("https://maps.app.goo.gl/RFbjktinC4wAW5hL7" = ""), HYPERLINK("https://maps.app.goo.gl/RFbjktinC4wAW5hL7", "موقع"), "")</f>
        <v>موقع</v>
      </c>
    </row>
    <row r="427" spans="1:27" x14ac:dyDescent="0.3">
      <c r="A427" t="s">
        <v>1665</v>
      </c>
      <c r="B427" s="1">
        <v>46182.512789351851</v>
      </c>
      <c r="C427" t="s">
        <v>1</v>
      </c>
      <c r="D427" t="s">
        <v>54</v>
      </c>
      <c r="E427" t="s">
        <v>318</v>
      </c>
      <c r="F427" t="s">
        <v>2546</v>
      </c>
      <c r="G427" t="s">
        <v>20</v>
      </c>
      <c r="H427" t="s">
        <v>1666</v>
      </c>
      <c r="I427" t="s">
        <v>1667</v>
      </c>
      <c r="J427" t="s">
        <v>1668</v>
      </c>
      <c r="K427" t="s">
        <v>1669</v>
      </c>
      <c r="L427">
        <v>132</v>
      </c>
      <c r="M427">
        <v>1239</v>
      </c>
      <c r="N427">
        <v>33000</v>
      </c>
      <c r="Q427" t="s">
        <v>955</v>
      </c>
      <c r="S427" t="s">
        <v>1776</v>
      </c>
      <c r="V427" t="s">
        <v>50</v>
      </c>
      <c r="W427" t="s">
        <v>1670</v>
      </c>
      <c r="Y427" t="str">
        <f t="shared" si="34"/>
        <v/>
      </c>
      <c r="Z427" t="str">
        <f t="shared" si="33"/>
        <v/>
      </c>
      <c r="AA427" t="str">
        <f>IF(NOT("" = ""), HYPERLINK("", "موقع"), "")</f>
        <v/>
      </c>
    </row>
    <row r="428" spans="1:27" x14ac:dyDescent="0.3">
      <c r="A428" t="s">
        <v>1671</v>
      </c>
      <c r="B428" s="1">
        <v>46182.512789351851</v>
      </c>
      <c r="C428" t="s">
        <v>1</v>
      </c>
      <c r="D428" t="s">
        <v>263</v>
      </c>
      <c r="E428" t="s">
        <v>318</v>
      </c>
      <c r="F428" t="s">
        <v>2547</v>
      </c>
      <c r="G428" t="s">
        <v>262</v>
      </c>
      <c r="H428" t="s">
        <v>1666</v>
      </c>
      <c r="I428" t="s">
        <v>1667</v>
      </c>
      <c r="J428" t="s">
        <v>1668</v>
      </c>
      <c r="K428" t="s">
        <v>1672</v>
      </c>
      <c r="L428">
        <v>0</v>
      </c>
      <c r="M428">
        <v>348</v>
      </c>
      <c r="N428">
        <v>341000</v>
      </c>
      <c r="O428">
        <v>32.275638999999998</v>
      </c>
      <c r="P428">
        <v>35.892833000000003</v>
      </c>
      <c r="Q428" t="s">
        <v>1673</v>
      </c>
      <c r="S428" t="s">
        <v>1776</v>
      </c>
      <c r="U428" t="s">
        <v>2548</v>
      </c>
      <c r="W428" t="s">
        <v>1674</v>
      </c>
      <c r="Y428" t="str">
        <f t="shared" si="34"/>
        <v/>
      </c>
      <c r="Z428" t="str">
        <f t="shared" si="33"/>
        <v/>
      </c>
      <c r="AA428" t="str">
        <f>IF(NOT("https://maps.app.goo.gl/xE3sXfjyUEiWQcwe9" = ""), HYPERLINK("https://maps.app.goo.gl/xE3sXfjyUEiWQcwe9", "موقع"), "")</f>
        <v>موقع</v>
      </c>
    </row>
    <row r="429" spans="1:27" x14ac:dyDescent="0.3">
      <c r="A429" t="s">
        <v>1675</v>
      </c>
      <c r="B429" s="1">
        <v>46182.512789351851</v>
      </c>
      <c r="C429" t="s">
        <v>1</v>
      </c>
      <c r="D429" t="s">
        <v>281</v>
      </c>
      <c r="E429" t="s">
        <v>1678</v>
      </c>
      <c r="F429" t="s">
        <v>2549</v>
      </c>
      <c r="G429" t="s">
        <v>262</v>
      </c>
      <c r="H429" t="s">
        <v>1666</v>
      </c>
      <c r="I429" t="s">
        <v>1667</v>
      </c>
      <c r="J429" t="s">
        <v>1676</v>
      </c>
      <c r="K429" t="s">
        <v>1677</v>
      </c>
      <c r="L429">
        <v>0</v>
      </c>
      <c r="M429">
        <v>715</v>
      </c>
      <c r="N429">
        <v>77000</v>
      </c>
      <c r="Q429" t="s">
        <v>1679</v>
      </c>
      <c r="S429" t="s">
        <v>1776</v>
      </c>
      <c r="W429" t="s">
        <v>1680</v>
      </c>
      <c r="Y429" t="str">
        <f t="shared" si="34"/>
        <v/>
      </c>
      <c r="Z429" t="str">
        <f t="shared" si="33"/>
        <v/>
      </c>
      <c r="AA429" t="str">
        <f>IF(NOT("" = ""), HYPERLINK("", "موقع"), "")</f>
        <v/>
      </c>
    </row>
    <row r="430" spans="1:27" x14ac:dyDescent="0.3">
      <c r="A430" t="s">
        <v>1681</v>
      </c>
      <c r="B430" s="1">
        <v>46182.512789351851</v>
      </c>
      <c r="C430" t="s">
        <v>1</v>
      </c>
      <c r="D430" t="s">
        <v>281</v>
      </c>
      <c r="E430" t="s">
        <v>318</v>
      </c>
      <c r="F430" t="s">
        <v>2550</v>
      </c>
      <c r="G430" t="s">
        <v>262</v>
      </c>
      <c r="H430" t="s">
        <v>1666</v>
      </c>
      <c r="I430" t="s">
        <v>1667</v>
      </c>
      <c r="J430" t="s">
        <v>1668</v>
      </c>
      <c r="K430" t="s">
        <v>1669</v>
      </c>
      <c r="L430">
        <v>0</v>
      </c>
      <c r="M430">
        <v>2253</v>
      </c>
      <c r="N430">
        <v>78000</v>
      </c>
      <c r="O430">
        <v>32.279916999999998</v>
      </c>
      <c r="P430">
        <v>35.906193999999999</v>
      </c>
      <c r="Q430" t="s">
        <v>1682</v>
      </c>
      <c r="S430" t="s">
        <v>1776</v>
      </c>
      <c r="U430" t="s">
        <v>2551</v>
      </c>
      <c r="W430" t="s">
        <v>1683</v>
      </c>
      <c r="Y430" t="str">
        <f t="shared" si="34"/>
        <v/>
      </c>
      <c r="Z430" t="str">
        <f t="shared" si="33"/>
        <v/>
      </c>
      <c r="AA430" t="str">
        <f>IF(NOT("https://maps.app.goo.gl/TVq7WyBgkfJkvZHB6" = ""), HYPERLINK("https://maps.app.goo.gl/TVq7WyBgkfJkvZHB6", "موقع"), "")</f>
        <v>موقع</v>
      </c>
    </row>
    <row r="431" spans="1:27" x14ac:dyDescent="0.3">
      <c r="A431" t="s">
        <v>1684</v>
      </c>
      <c r="B431" s="1">
        <v>46182.512789351851</v>
      </c>
      <c r="C431" t="s">
        <v>1</v>
      </c>
      <c r="D431" t="s">
        <v>281</v>
      </c>
      <c r="E431" t="s">
        <v>318</v>
      </c>
      <c r="F431" t="s">
        <v>2552</v>
      </c>
      <c r="G431" t="s">
        <v>262</v>
      </c>
      <c r="H431" t="s">
        <v>1666</v>
      </c>
      <c r="I431" t="s">
        <v>1667</v>
      </c>
      <c r="J431" t="s">
        <v>1668</v>
      </c>
      <c r="K431" t="s">
        <v>1685</v>
      </c>
      <c r="L431">
        <v>0</v>
      </c>
      <c r="M431">
        <v>599</v>
      </c>
      <c r="N431">
        <v>314000</v>
      </c>
      <c r="Q431" t="s">
        <v>1686</v>
      </c>
      <c r="S431" t="s">
        <v>1776</v>
      </c>
      <c r="W431" t="s">
        <v>1687</v>
      </c>
      <c r="Y431" t="str">
        <f t="shared" si="34"/>
        <v/>
      </c>
      <c r="Z431" t="str">
        <f t="shared" si="33"/>
        <v/>
      </c>
      <c r="AA431" t="str">
        <f>IF(NOT("" = ""), HYPERLINK("", "موقع"), "")</f>
        <v/>
      </c>
    </row>
    <row r="432" spans="1:27" x14ac:dyDescent="0.3">
      <c r="A432" t="s">
        <v>1688</v>
      </c>
      <c r="B432" s="1">
        <v>46182.512789351851</v>
      </c>
      <c r="C432" t="s">
        <v>1</v>
      </c>
      <c r="D432" t="s">
        <v>391</v>
      </c>
      <c r="E432" t="s">
        <v>318</v>
      </c>
      <c r="F432" t="s">
        <v>2553</v>
      </c>
      <c r="G432" t="s">
        <v>390</v>
      </c>
      <c r="H432" t="s">
        <v>1666</v>
      </c>
      <c r="I432" t="s">
        <v>1667</v>
      </c>
      <c r="J432" t="s">
        <v>1668</v>
      </c>
      <c r="K432" t="s">
        <v>1689</v>
      </c>
      <c r="L432">
        <v>0</v>
      </c>
      <c r="M432">
        <v>1602</v>
      </c>
      <c r="N432">
        <v>100000</v>
      </c>
      <c r="O432">
        <v>32.276055999999997</v>
      </c>
      <c r="P432">
        <v>35.911417</v>
      </c>
      <c r="Q432" t="s">
        <v>1690</v>
      </c>
      <c r="R432" t="s">
        <v>2554</v>
      </c>
      <c r="S432" t="s">
        <v>1776</v>
      </c>
      <c r="T432" t="s">
        <v>2555</v>
      </c>
      <c r="U432" t="s">
        <v>2556</v>
      </c>
      <c r="W432" t="s">
        <v>1691</v>
      </c>
      <c r="Y432" t="str">
        <f t="shared" si="34"/>
        <v/>
      </c>
      <c r="Z432" t="str">
        <f>IF(NOT("https://www.true-markets.net/media/360tour/housing-bank/1602/index.html" = ""), HYPERLINK("https://www.true-markets.net/media/360tour/housing-bank/1602/index.html", "جولة"), "")</f>
        <v>جولة</v>
      </c>
      <c r="AA432" t="str">
        <f>IF(NOT("https://maps.app.goo.gl/KaBoiGDnFFndWYHSA" = ""), HYPERLINK("https://maps.app.goo.gl/KaBoiGDnFFndWYHSA", "موقع"), "")</f>
        <v>موقع</v>
      </c>
    </row>
    <row r="433" spans="1:27" x14ac:dyDescent="0.3">
      <c r="A433" t="s">
        <v>1692</v>
      </c>
      <c r="B433" s="1">
        <v>46182.512789351851</v>
      </c>
      <c r="C433" t="s">
        <v>1</v>
      </c>
      <c r="D433" t="s">
        <v>281</v>
      </c>
      <c r="E433" t="s">
        <v>1697</v>
      </c>
      <c r="F433" t="s">
        <v>2557</v>
      </c>
      <c r="G433" t="s">
        <v>262</v>
      </c>
      <c r="H433" t="s">
        <v>1693</v>
      </c>
      <c r="I433" t="s">
        <v>1694</v>
      </c>
      <c r="J433" t="s">
        <v>1695</v>
      </c>
      <c r="K433" t="s">
        <v>1696</v>
      </c>
      <c r="L433">
        <v>0</v>
      </c>
      <c r="M433">
        <v>76</v>
      </c>
      <c r="N433">
        <v>197000</v>
      </c>
      <c r="O433">
        <v>32.340639000000003</v>
      </c>
      <c r="P433">
        <v>35.754249999999999</v>
      </c>
      <c r="Q433" t="s">
        <v>1698</v>
      </c>
      <c r="S433" t="s">
        <v>1776</v>
      </c>
      <c r="U433" t="s">
        <v>2558</v>
      </c>
      <c r="W433" t="s">
        <v>1699</v>
      </c>
      <c r="Y433" t="str">
        <f t="shared" si="34"/>
        <v/>
      </c>
      <c r="Z433" t="str">
        <f t="shared" ref="Z433:Z441" si="35">IF(NOT("" = ""), HYPERLINK("", "جولة"), "")</f>
        <v/>
      </c>
      <c r="AA433" t="str">
        <f>IF(NOT("https://maps.app.goo.gl/7HoWuNweyFZqUTVC8" = ""), HYPERLINK("https://maps.app.goo.gl/7HoWuNweyFZqUTVC8", "موقع"), "")</f>
        <v>موقع</v>
      </c>
    </row>
    <row r="434" spans="1:27" x14ac:dyDescent="0.3">
      <c r="A434" t="s">
        <v>1700</v>
      </c>
      <c r="B434" s="1">
        <v>46182.512789351851</v>
      </c>
      <c r="C434" t="s">
        <v>1</v>
      </c>
      <c r="D434" t="s">
        <v>391</v>
      </c>
      <c r="E434" t="s">
        <v>551</v>
      </c>
      <c r="F434" t="s">
        <v>2559</v>
      </c>
      <c r="G434" t="s">
        <v>390</v>
      </c>
      <c r="H434" t="s">
        <v>1693</v>
      </c>
      <c r="I434" t="s">
        <v>1694</v>
      </c>
      <c r="J434" t="s">
        <v>1701</v>
      </c>
      <c r="K434" t="s">
        <v>1702</v>
      </c>
      <c r="L434">
        <v>0</v>
      </c>
      <c r="M434">
        <v>302</v>
      </c>
      <c r="N434">
        <v>106000</v>
      </c>
      <c r="O434">
        <v>32.358139000000001</v>
      </c>
      <c r="P434">
        <v>35.679361</v>
      </c>
      <c r="Q434" t="s">
        <v>1703</v>
      </c>
      <c r="S434" t="s">
        <v>1776</v>
      </c>
      <c r="U434" t="s">
        <v>2560</v>
      </c>
      <c r="W434" t="s">
        <v>1704</v>
      </c>
      <c r="Y434" t="str">
        <f t="shared" si="34"/>
        <v/>
      </c>
      <c r="Z434" t="str">
        <f t="shared" si="35"/>
        <v/>
      </c>
      <c r="AA434" t="str">
        <f>IF(NOT("https://maps.app.goo.gl/pYfd6JHCkMS6CqcM9" = ""), HYPERLINK("https://maps.app.goo.gl/pYfd6JHCkMS6CqcM9", "موقع"), "")</f>
        <v>موقع</v>
      </c>
    </row>
    <row r="435" spans="1:27" x14ac:dyDescent="0.3">
      <c r="A435" t="s">
        <v>1705</v>
      </c>
      <c r="B435" s="1">
        <v>46182.512789351851</v>
      </c>
      <c r="C435" t="s">
        <v>1</v>
      </c>
      <c r="D435" t="s">
        <v>54</v>
      </c>
      <c r="E435" t="s">
        <v>1710</v>
      </c>
      <c r="F435" t="s">
        <v>2036</v>
      </c>
      <c r="G435" t="s">
        <v>20</v>
      </c>
      <c r="H435" t="s">
        <v>1706</v>
      </c>
      <c r="I435" t="s">
        <v>1707</v>
      </c>
      <c r="J435" t="s">
        <v>1708</v>
      </c>
      <c r="K435" t="s">
        <v>1709</v>
      </c>
      <c r="L435">
        <v>113</v>
      </c>
      <c r="M435">
        <v>1284</v>
      </c>
      <c r="N435">
        <v>18000</v>
      </c>
      <c r="Q435" t="s">
        <v>1711</v>
      </c>
      <c r="S435" t="s">
        <v>1776</v>
      </c>
      <c r="V435" t="s">
        <v>32</v>
      </c>
      <c r="W435" t="s">
        <v>1712</v>
      </c>
      <c r="Y435" t="str">
        <f t="shared" si="34"/>
        <v/>
      </c>
      <c r="Z435" t="str">
        <f t="shared" si="35"/>
        <v/>
      </c>
      <c r="AA435" t="str">
        <f>IF(NOT("" = ""), HYPERLINK("", "موقع"), "")</f>
        <v/>
      </c>
    </row>
    <row r="436" spans="1:27" x14ac:dyDescent="0.3">
      <c r="A436" t="s">
        <v>1713</v>
      </c>
      <c r="B436" s="1">
        <v>46182.512789351851</v>
      </c>
      <c r="C436" t="s">
        <v>1</v>
      </c>
      <c r="D436" t="s">
        <v>54</v>
      </c>
      <c r="E436" t="s">
        <v>1716</v>
      </c>
      <c r="F436" t="s">
        <v>2561</v>
      </c>
      <c r="G436" t="s">
        <v>20</v>
      </c>
      <c r="H436" t="s">
        <v>1706</v>
      </c>
      <c r="I436" t="s">
        <v>1707</v>
      </c>
      <c r="J436" t="s">
        <v>1714</v>
      </c>
      <c r="K436" t="s">
        <v>1715</v>
      </c>
      <c r="L436">
        <v>131</v>
      </c>
      <c r="M436">
        <v>1179</v>
      </c>
      <c r="N436">
        <v>41000</v>
      </c>
      <c r="O436">
        <v>31.725417</v>
      </c>
      <c r="P436">
        <v>35.789749999999998</v>
      </c>
      <c r="Q436" t="s">
        <v>1156</v>
      </c>
      <c r="S436" t="s">
        <v>1776</v>
      </c>
      <c r="U436" t="s">
        <v>2562</v>
      </c>
      <c r="V436" t="s">
        <v>50</v>
      </c>
      <c r="W436" t="s">
        <v>1717</v>
      </c>
      <c r="Y436" t="str">
        <f t="shared" si="34"/>
        <v/>
      </c>
      <c r="Z436" t="str">
        <f t="shared" si="35"/>
        <v/>
      </c>
      <c r="AA436" t="str">
        <f>IF(NOT("https://maps.app.goo.gl/WkaV4oQ8B8teN9ky7" = ""), HYPERLINK("https://maps.app.goo.gl/WkaV4oQ8B8teN9ky7", "موقع"), "")</f>
        <v>موقع</v>
      </c>
    </row>
    <row r="437" spans="1:27" x14ac:dyDescent="0.3">
      <c r="A437" t="s">
        <v>1718</v>
      </c>
      <c r="B437" s="1">
        <v>46182.512789351851</v>
      </c>
      <c r="C437" t="s">
        <v>1</v>
      </c>
      <c r="D437" t="s">
        <v>281</v>
      </c>
      <c r="E437" t="s">
        <v>1716</v>
      </c>
      <c r="F437" t="s">
        <v>2563</v>
      </c>
      <c r="G437" t="s">
        <v>262</v>
      </c>
      <c r="H437" t="s">
        <v>1706</v>
      </c>
      <c r="I437" t="s">
        <v>1707</v>
      </c>
      <c r="J437" t="s">
        <v>1719</v>
      </c>
      <c r="K437" t="s">
        <v>1720</v>
      </c>
      <c r="L437">
        <v>0</v>
      </c>
      <c r="M437">
        <v>240</v>
      </c>
      <c r="N437">
        <v>119000</v>
      </c>
      <c r="O437">
        <v>31.716971999999998</v>
      </c>
      <c r="P437">
        <v>35.805083000000003</v>
      </c>
      <c r="Q437" t="s">
        <v>1721</v>
      </c>
      <c r="S437" t="s">
        <v>1776</v>
      </c>
      <c r="U437" t="s">
        <v>2564</v>
      </c>
      <c r="W437" t="s">
        <v>1722</v>
      </c>
      <c r="Y437" t="str">
        <f t="shared" si="34"/>
        <v/>
      </c>
      <c r="Z437" t="str">
        <f t="shared" si="35"/>
        <v/>
      </c>
      <c r="AA437" t="str">
        <f>IF(NOT("https://maps.app.goo.gl/zwdKSeXXDy4wGL3fA" = ""), HYPERLINK("https://maps.app.goo.gl/zwdKSeXXDy4wGL3fA", "موقع"), "")</f>
        <v>موقع</v>
      </c>
    </row>
    <row r="438" spans="1:27" x14ac:dyDescent="0.3">
      <c r="A438" t="s">
        <v>1723</v>
      </c>
      <c r="B438" s="1">
        <v>46182.512789351851</v>
      </c>
      <c r="C438" t="s">
        <v>1</v>
      </c>
      <c r="D438" t="s">
        <v>391</v>
      </c>
      <c r="E438" t="s">
        <v>1727</v>
      </c>
      <c r="F438" t="s">
        <v>2565</v>
      </c>
      <c r="G438" t="s">
        <v>390</v>
      </c>
      <c r="H438" t="s">
        <v>1706</v>
      </c>
      <c r="I438" t="s">
        <v>1724</v>
      </c>
      <c r="J438" t="s">
        <v>1725</v>
      </c>
      <c r="K438" t="s">
        <v>1726</v>
      </c>
      <c r="L438">
        <v>0</v>
      </c>
      <c r="M438">
        <v>129</v>
      </c>
      <c r="N438">
        <v>12000</v>
      </c>
      <c r="O438">
        <v>31.501389</v>
      </c>
      <c r="P438">
        <v>35.787388999999997</v>
      </c>
      <c r="Q438" t="s">
        <v>1323</v>
      </c>
      <c r="S438" t="s">
        <v>1776</v>
      </c>
      <c r="T438" t="s">
        <v>2566</v>
      </c>
      <c r="U438" t="s">
        <v>2567</v>
      </c>
      <c r="W438" t="s">
        <v>1728</v>
      </c>
      <c r="Y438" t="str">
        <f t="shared" si="34"/>
        <v/>
      </c>
      <c r="Z438" t="str">
        <f t="shared" si="35"/>
        <v/>
      </c>
      <c r="AA438" t="str">
        <f>IF(NOT("https://maps.app.goo.gl/kNG5M5KvurE2uci67" = ""), HYPERLINK("https://maps.app.goo.gl/kNG5M5KvurE2uci67", "موقع"), "")</f>
        <v>موقع</v>
      </c>
    </row>
    <row r="439" spans="1:27" x14ac:dyDescent="0.3">
      <c r="A439" t="s">
        <v>1729</v>
      </c>
      <c r="B439" s="1">
        <v>46182.512789351851</v>
      </c>
      <c r="C439" t="s">
        <v>1</v>
      </c>
      <c r="D439" t="s">
        <v>750</v>
      </c>
      <c r="E439" t="s">
        <v>1727</v>
      </c>
      <c r="F439" t="s">
        <v>2568</v>
      </c>
      <c r="G439" t="s">
        <v>390</v>
      </c>
      <c r="H439" t="s">
        <v>1706</v>
      </c>
      <c r="I439" t="s">
        <v>1724</v>
      </c>
      <c r="J439" t="s">
        <v>1730</v>
      </c>
      <c r="K439" t="s">
        <v>1731</v>
      </c>
      <c r="L439">
        <v>0</v>
      </c>
      <c r="M439">
        <v>27</v>
      </c>
      <c r="N439">
        <v>244000</v>
      </c>
      <c r="O439">
        <v>31.5015</v>
      </c>
      <c r="P439">
        <v>35.761527999999998</v>
      </c>
      <c r="Q439" t="s">
        <v>1732</v>
      </c>
      <c r="S439" t="s">
        <v>1776</v>
      </c>
      <c r="T439" t="s">
        <v>2569</v>
      </c>
      <c r="U439" t="s">
        <v>2570</v>
      </c>
      <c r="W439" t="s">
        <v>1733</v>
      </c>
      <c r="Y439" t="str">
        <f t="shared" si="34"/>
        <v/>
      </c>
      <c r="Z439" t="str">
        <f t="shared" si="35"/>
        <v/>
      </c>
      <c r="AA439" t="str">
        <f>IF(NOT("https://maps.app.goo.gl/xi3VCsRSXeZzB3a26" = ""), HYPERLINK("https://maps.app.goo.gl/xi3VCsRSXeZzB3a26", "موقع"), "")</f>
        <v>موقع</v>
      </c>
    </row>
    <row r="440" spans="1:27" x14ac:dyDescent="0.3">
      <c r="A440" t="s">
        <v>1734</v>
      </c>
      <c r="B440" s="1">
        <v>46182.512789351851</v>
      </c>
      <c r="C440" t="s">
        <v>1</v>
      </c>
      <c r="D440" t="s">
        <v>421</v>
      </c>
      <c r="E440" t="s">
        <v>1737</v>
      </c>
      <c r="F440" t="s">
        <v>2571</v>
      </c>
      <c r="G440" t="s">
        <v>262</v>
      </c>
      <c r="H440" t="s">
        <v>1706</v>
      </c>
      <c r="I440" t="s">
        <v>1707</v>
      </c>
      <c r="J440" t="s">
        <v>1735</v>
      </c>
      <c r="K440" t="s">
        <v>1736</v>
      </c>
      <c r="L440">
        <v>0</v>
      </c>
      <c r="M440">
        <v>702</v>
      </c>
      <c r="N440">
        <v>52000</v>
      </c>
      <c r="O440">
        <v>31.759167000000001</v>
      </c>
      <c r="P440">
        <v>35.794666999999997</v>
      </c>
      <c r="Q440" t="s">
        <v>1738</v>
      </c>
      <c r="S440" t="s">
        <v>1776</v>
      </c>
      <c r="U440" t="s">
        <v>2572</v>
      </c>
      <c r="W440" t="s">
        <v>1739</v>
      </c>
      <c r="Y440" t="str">
        <f t="shared" si="34"/>
        <v/>
      </c>
      <c r="Z440" t="str">
        <f t="shared" si="35"/>
        <v/>
      </c>
      <c r="AA440" t="str">
        <f>IF(NOT("https://maps.app.goo.gl/53XE135Wgb8fsd6x9" = ""), HYPERLINK("https://maps.app.goo.gl/53XE135Wgb8fsd6x9", "موقع"), "")</f>
        <v>موقع</v>
      </c>
    </row>
    <row r="441" spans="1:27" x14ac:dyDescent="0.3">
      <c r="A441" t="s">
        <v>1740</v>
      </c>
      <c r="B441" s="1">
        <v>46182.512789351851</v>
      </c>
      <c r="C441" t="s">
        <v>1</v>
      </c>
      <c r="D441" t="s">
        <v>391</v>
      </c>
      <c r="E441" t="s">
        <v>318</v>
      </c>
      <c r="F441" t="s">
        <v>2573</v>
      </c>
      <c r="G441" t="s">
        <v>390</v>
      </c>
      <c r="H441" t="s">
        <v>1741</v>
      </c>
      <c r="I441" t="s">
        <v>1742</v>
      </c>
      <c r="J441" t="s">
        <v>1743</v>
      </c>
      <c r="K441" t="s">
        <v>1744</v>
      </c>
      <c r="L441">
        <v>0</v>
      </c>
      <c r="M441">
        <v>91</v>
      </c>
      <c r="N441">
        <v>2000</v>
      </c>
      <c r="O441">
        <v>30.058250000000001</v>
      </c>
      <c r="P441">
        <v>35.486389000000003</v>
      </c>
      <c r="Q441" t="s">
        <v>1745</v>
      </c>
      <c r="S441" t="s">
        <v>1776</v>
      </c>
      <c r="T441" t="s">
        <v>2574</v>
      </c>
      <c r="U441" t="s">
        <v>2575</v>
      </c>
      <c r="W441" t="s">
        <v>1746</v>
      </c>
      <c r="Y441" t="str">
        <f t="shared" si="34"/>
        <v/>
      </c>
      <c r="Z441" t="str">
        <f t="shared" si="35"/>
        <v/>
      </c>
      <c r="AA441" t="str">
        <f>IF(NOT("https://maps.app.goo.gl/7bvp2wEWFm1ad4B98" = ""), HYPERLINK("https://maps.app.goo.gl/7bvp2wEWFm1ad4B98", "موقع"), "")</f>
        <v>موقع</v>
      </c>
    </row>
  </sheetData>
  <mergeCells count="1">
    <mergeCell ref="A1:AA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DE2E83C05A24787A6F68B5AD97821" ma:contentTypeVersion="14" ma:contentTypeDescription="Create a new document." ma:contentTypeScope="" ma:versionID="7c5b611e5af1095f3e74865453ca2b62">
  <xsd:schema xmlns:xsd="http://www.w3.org/2001/XMLSchema" xmlns:xs="http://www.w3.org/2001/XMLSchema" xmlns:p="http://schemas.microsoft.com/office/2006/metadata/properties" xmlns:ns3="1ae83b2a-0996-4d60-af29-8730367a1821" xmlns:ns4="daa3f949-e488-4707-ad67-5a8664760c64" targetNamespace="http://schemas.microsoft.com/office/2006/metadata/properties" ma:root="true" ma:fieldsID="088643c289d549c3b5e7391c88260dce" ns3:_="" ns4:_="">
    <xsd:import namespace="1ae83b2a-0996-4d60-af29-8730367a1821"/>
    <xsd:import namespace="daa3f949-e488-4707-ad67-5a8664760c64"/>
    <xsd:element name="properties">
      <xsd:complexType>
        <xsd:sequence>
          <xsd:element name="documentManagement">
            <xsd:complexType>
              <xsd:all>
                <xsd:element ref="ns3:_activity" minOccurs="0"/>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83b2a-0996-4d60-af29-8730367a1821"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a3f949-e488-4707-ad67-5a8664760c6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ae83b2a-0996-4d60-af29-8730367a1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27ECD2-8765-48E8-BE71-0DAC3844A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83b2a-0996-4d60-af29-8730367a1821"/>
    <ds:schemaRef ds:uri="daa3f949-e488-4707-ad67-5a8664760c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85D9EE-0267-4518-8BFB-F22415F4D49B}">
  <ds:schemaRefs>
    <ds:schemaRef ds:uri="http://purl.org/dc/terms/"/>
    <ds:schemaRef ds:uri="http://schemas.microsoft.com/office/2006/documentManagement/types"/>
    <ds:schemaRef ds:uri="1ae83b2a-0996-4d60-af29-8730367a1821"/>
    <ds:schemaRef ds:uri="http://purl.org/dc/elements/1.1/"/>
    <ds:schemaRef ds:uri="http://www.w3.org/XML/1998/namespace"/>
    <ds:schemaRef ds:uri="http://purl.org/dc/dcmitype/"/>
    <ds:schemaRef ds:uri="http://schemas.microsoft.com/office/2006/metadata/properties"/>
    <ds:schemaRef ds:uri="daa3f949-e488-4707-ad67-5a8664760c64"/>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BA5F919-CE06-4795-BFB3-A7893A87CF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DataToCoppy</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J.H Alsamhouri</dc:creator>
  <cp:lastModifiedBy>Ahmad J.H. Alsamhouri</cp:lastModifiedBy>
  <cp:lastPrinted>2026-06-09T09:47:00Z</cp:lastPrinted>
  <dcterms:created xsi:type="dcterms:W3CDTF">2024-01-03T07:15:02Z</dcterms:created>
  <dcterms:modified xsi:type="dcterms:W3CDTF">2026-06-10T07:19:11Z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0x010100D5EDE2E83C05A24787A6F68B5AD97821</vt:lpwstr>
  </property>
</Properties>
</file>